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60" windowHeight="9210" activeTab="0"/>
  </bookViews>
  <sheets>
    <sheet name="Dati modello" sheetId="1" r:id="rId1"/>
    <sheet name="Analisi dei pesi" sheetId="2" r:id="rId2"/>
    <sheet name="Calettamento " sheetId="3" r:id="rId3"/>
  </sheets>
  <definedNames/>
  <calcPr fullCalcOnLoad="1"/>
</workbook>
</file>

<file path=xl/sharedStrings.xml><?xml version="1.0" encoding="utf-8"?>
<sst xmlns="http://schemas.openxmlformats.org/spreadsheetml/2006/main" count="404" uniqueCount="231">
  <si>
    <t>Fissare il margine statico tra -0,1 e -0,3</t>
  </si>
  <si>
    <t>Margine Statico (Sm)</t>
  </si>
  <si>
    <t>Calcolare le corde medie di ala e stabilizzatore</t>
  </si>
  <si>
    <t>Corda Media alare</t>
  </si>
  <si>
    <t>Corda media stab</t>
  </si>
  <si>
    <t>Calcolo delle distanze del bordo attacco Cam (ala e stab) da bordo attacco radice ala e sab</t>
  </si>
  <si>
    <t>Xala</t>
  </si>
  <si>
    <t>Xstab</t>
  </si>
  <si>
    <t>Calcolo dei rapporti volumetrici</t>
  </si>
  <si>
    <t>Superficie Alare</t>
  </si>
  <si>
    <t>Braccio stablizzatore</t>
  </si>
  <si>
    <t>Braccio Deriva</t>
  </si>
  <si>
    <t>Superficie Stabilizzatore</t>
  </si>
  <si>
    <t>Superficie Deriva</t>
  </si>
  <si>
    <t>TVC''</t>
  </si>
  <si>
    <t>VVC</t>
  </si>
  <si>
    <t>Apertura Alare</t>
  </si>
  <si>
    <t>Gradiente di portanza dei profili di ala e stab</t>
  </si>
  <si>
    <t>Profilo ala</t>
  </si>
  <si>
    <t>Cl</t>
  </si>
  <si>
    <t>Alfa 1</t>
  </si>
  <si>
    <t xml:space="preserve"> Alfa 2</t>
  </si>
  <si>
    <t>Profilo Stabilizzatore</t>
  </si>
  <si>
    <t>Alfa 2</t>
  </si>
  <si>
    <t>Mach</t>
  </si>
  <si>
    <t>Kw</t>
  </si>
  <si>
    <t>Kt</t>
  </si>
  <si>
    <t>B</t>
  </si>
  <si>
    <t>Allungamento Ala</t>
  </si>
  <si>
    <t>Allungamento Stab.</t>
  </si>
  <si>
    <t>Freccia ala a 1/2 di corda</t>
  </si>
  <si>
    <t>Freccia stab. 1/2 corda</t>
  </si>
  <si>
    <t>°</t>
  </si>
  <si>
    <t>Claw</t>
  </si>
  <si>
    <t>Clat</t>
  </si>
  <si>
    <t>Calcolo del donwash</t>
  </si>
  <si>
    <t>Ka</t>
  </si>
  <si>
    <t>Rapporto di rastremazione ala</t>
  </si>
  <si>
    <t>Kl</t>
  </si>
  <si>
    <t>Kh</t>
  </si>
  <si>
    <t>Distanza verticale ala-stab</t>
  </si>
  <si>
    <t>Downwash</t>
  </si>
  <si>
    <t>Freccia alare a 1/4 delle corde</t>
  </si>
  <si>
    <t>Calettamento dello stabilizzatore</t>
  </si>
  <si>
    <t>Angolo di attacco ala</t>
  </si>
  <si>
    <t>Angolo nullo di portanza profilo ala</t>
  </si>
  <si>
    <t>Gradiente di portanza ala e stab.</t>
  </si>
  <si>
    <t>Angolo di calettamento dello stabilizzatore</t>
  </si>
  <si>
    <t>Centro aerodinamico della fusoliera</t>
  </si>
  <si>
    <t>Lunghezza fusoliera</t>
  </si>
  <si>
    <t>Dimensini sezioni in cm</t>
  </si>
  <si>
    <t>Sezione</t>
  </si>
  <si>
    <t>Distanza naso - bordo attacco profilo radice</t>
  </si>
  <si>
    <t>Lunghezza corda di radice</t>
  </si>
  <si>
    <t>Distanza bordo d'uscita profilo radice - 1/4 corda stab</t>
  </si>
  <si>
    <t>Momento delle sezioni 1-5 da grafico dove</t>
  </si>
  <si>
    <t>Xi/Cr</t>
  </si>
  <si>
    <t>De/Da sgn</t>
  </si>
  <si>
    <t>Momento delle sezioni 6-13</t>
  </si>
  <si>
    <t>De/Da locale</t>
  </si>
  <si>
    <t>Kh locale</t>
  </si>
  <si>
    <t>De/Da sgn.</t>
  </si>
  <si>
    <t>Elem.Sommatoria</t>
  </si>
  <si>
    <t>Centro Aerodinamico fusoliera</t>
  </si>
  <si>
    <t>Centro aerodinamico ala e fusoliera</t>
  </si>
  <si>
    <t>Centro aerodinamico aereo completo</t>
  </si>
  <si>
    <t>Larghezza sezione maestra fusoliera</t>
  </si>
  <si>
    <t>Altezza sezione maestra fusoliera</t>
  </si>
  <si>
    <t>Diametro equivalete fusoliera</t>
  </si>
  <si>
    <t>Gradiente portanza ala e fusoliera</t>
  </si>
  <si>
    <t>F</t>
  </si>
  <si>
    <t>Posizione del Cg</t>
  </si>
  <si>
    <t>Calcolo dei gradienti di profilo ala e stabilizzatore per M</t>
  </si>
  <si>
    <t>Gradiente profilo ala</t>
  </si>
  <si>
    <t>Gradiente profilo stab</t>
  </si>
  <si>
    <t>Gradiente profilo stab.</t>
  </si>
  <si>
    <t>% corda media</t>
  </si>
  <si>
    <t>cm</t>
  </si>
  <si>
    <t>CALETTAMENTO STABILIZZATORE E CENTRAGGIO</t>
  </si>
  <si>
    <t>cmq</t>
  </si>
  <si>
    <t>Distanza x (cm)</t>
  </si>
  <si>
    <t>Larghezza (cm)</t>
  </si>
  <si>
    <t>Distanza da naso (cm)</t>
  </si>
  <si>
    <t>Dxi</t>
  </si>
  <si>
    <t>cm dal bordo d'entrata della corda media</t>
  </si>
  <si>
    <t>cm dal bordo d'entrata della corda di radice</t>
  </si>
  <si>
    <t>Coordinata Xi</t>
  </si>
  <si>
    <t>/</t>
  </si>
  <si>
    <t>Dist. Da C/4</t>
  </si>
  <si>
    <t>Margine statico:</t>
  </si>
  <si>
    <t>Punto neutro posteriore</t>
  </si>
  <si>
    <t>Punto neutro anteriore</t>
  </si>
  <si>
    <t xml:space="preserve"> </t>
  </si>
  <si>
    <t>DATI SUL CENTRAGGIO:</t>
  </si>
  <si>
    <t>LIMITI DEL CENTRAGGIO:</t>
  </si>
  <si>
    <t>CALETTAMENTO NECESSARIO DELLO STABILIZZATORE</t>
  </si>
  <si>
    <t>Diedro Longitudinale</t>
  </si>
  <si>
    <t>Profilo AG 25</t>
  </si>
  <si>
    <t>NR 100.000</t>
  </si>
  <si>
    <t>Motore 400</t>
  </si>
  <si>
    <t xml:space="preserve">Elica </t>
  </si>
  <si>
    <t>Ogiva</t>
  </si>
  <si>
    <t>Riduttore</t>
  </si>
  <si>
    <t>Batteria</t>
  </si>
  <si>
    <t>Fusoliera</t>
  </si>
  <si>
    <t>Guscio</t>
  </si>
  <si>
    <t>Piani di coda</t>
  </si>
  <si>
    <t>Ala</t>
  </si>
  <si>
    <t>Polistirolo</t>
  </si>
  <si>
    <t>Longherone sup</t>
  </si>
  <si>
    <t>Longherone inf.</t>
  </si>
  <si>
    <t>Giunzione longheroni</t>
  </si>
  <si>
    <t xml:space="preserve">Rinforzo BE </t>
  </si>
  <si>
    <t>Rinforzo BU</t>
  </si>
  <si>
    <t>Rivestimento</t>
  </si>
  <si>
    <t>Rinforzo centrale</t>
  </si>
  <si>
    <t>Vite di fissaggio</t>
  </si>
  <si>
    <t>Piolino.</t>
  </si>
  <si>
    <t>Cerniera pel play</t>
  </si>
  <si>
    <t>Squadrette aletttoni</t>
  </si>
  <si>
    <t>Rinforzo alettoni</t>
  </si>
  <si>
    <t>Tips</t>
  </si>
  <si>
    <t>Tubo di rotazione</t>
  </si>
  <si>
    <t>Aggancio comandi</t>
  </si>
  <si>
    <t>Boom</t>
  </si>
  <si>
    <t>Aggancio servi</t>
  </si>
  <si>
    <t>Supporto ala</t>
  </si>
  <si>
    <t>Tappo motore</t>
  </si>
  <si>
    <t>Gruppo motore</t>
  </si>
  <si>
    <t>Cavi e connettori</t>
  </si>
  <si>
    <t>Gruppo radio</t>
  </si>
  <si>
    <t>Radio</t>
  </si>
  <si>
    <t>Interruttore</t>
  </si>
  <si>
    <t>Dedalo 2</t>
  </si>
  <si>
    <t xml:space="preserve">Dati Ala </t>
  </si>
  <si>
    <t>Profilo ag 25</t>
  </si>
  <si>
    <t>Perimetro</t>
  </si>
  <si>
    <t>Area del profilo (17cm)</t>
  </si>
  <si>
    <t>Area del profilo (10cm)</t>
  </si>
  <si>
    <t xml:space="preserve">cm </t>
  </si>
  <si>
    <t>Corda radice</t>
  </si>
  <si>
    <t>Corda estremità</t>
  </si>
  <si>
    <t>Volume semiala</t>
  </si>
  <si>
    <t>Corda media</t>
  </si>
  <si>
    <t>Diedro</t>
  </si>
  <si>
    <t>6°</t>
  </si>
  <si>
    <t xml:space="preserve">Apertura alare </t>
  </si>
  <si>
    <t>Superficie alare in pianta</t>
  </si>
  <si>
    <t>dmq</t>
  </si>
  <si>
    <t>Superficie alare effettiva</t>
  </si>
  <si>
    <t>Allungamento</t>
  </si>
  <si>
    <t>Superficie alare Sviluppo</t>
  </si>
  <si>
    <t>g/mq</t>
  </si>
  <si>
    <t>Fattore K</t>
  </si>
  <si>
    <t>Dat iPiani di coda</t>
  </si>
  <si>
    <t>Profilo naca 007</t>
  </si>
  <si>
    <t>Angolo V</t>
  </si>
  <si>
    <t xml:space="preserve">Superficie totale  effetiva </t>
  </si>
  <si>
    <t>Superficie proiettata orizzontale</t>
  </si>
  <si>
    <t>Superficie proiettata verticale</t>
  </si>
  <si>
    <t>cmc</t>
  </si>
  <si>
    <t>cm.</t>
  </si>
  <si>
    <t>U.m.</t>
  </si>
  <si>
    <t>P unitario</t>
  </si>
  <si>
    <t>Grammi</t>
  </si>
  <si>
    <t>g/ml</t>
  </si>
  <si>
    <t>mm</t>
  </si>
  <si>
    <t>mm^</t>
  </si>
  <si>
    <t>g./cc</t>
  </si>
  <si>
    <t>g./ml</t>
  </si>
  <si>
    <t>Piattina (da roving)</t>
  </si>
  <si>
    <t>Piattina</t>
  </si>
  <si>
    <t>Tubo carbonio   04/02</t>
  </si>
  <si>
    <t>Tubo carbonio   05/025</t>
  </si>
  <si>
    <t>Tubo carbonio   06/04</t>
  </si>
  <si>
    <t>Tubo carbonio   08/06</t>
  </si>
  <si>
    <t>Tubo carbonio Incrociato</t>
  </si>
  <si>
    <t>F 4</t>
  </si>
  <si>
    <t>F 5</t>
  </si>
  <si>
    <t>F 6</t>
  </si>
  <si>
    <t>F 8</t>
  </si>
  <si>
    <t>Longherone a T in opera con nastro cm.2,5</t>
  </si>
  <si>
    <t>Tondino</t>
  </si>
  <si>
    <t>g./ml Acciaio</t>
  </si>
  <si>
    <t>g./ml Carbonio</t>
  </si>
  <si>
    <t>mmq.</t>
  </si>
  <si>
    <t>cc.</t>
  </si>
  <si>
    <t>kg/mc</t>
  </si>
  <si>
    <t xml:space="preserve">g. </t>
  </si>
  <si>
    <t xml:space="preserve">Estruso 30 </t>
  </si>
  <si>
    <t>nastro unid. 160 g 2,5 cm</t>
  </si>
  <si>
    <t xml:space="preserve">Carbonio 160g </t>
  </si>
  <si>
    <t>Rooving nf 24</t>
  </si>
  <si>
    <t>VTR 40 g. mq.</t>
  </si>
  <si>
    <t>dmq.</t>
  </si>
  <si>
    <t>n°</t>
  </si>
  <si>
    <t>g.</t>
  </si>
  <si>
    <t>g/m</t>
  </si>
  <si>
    <t>VTR 80 g. mq.</t>
  </si>
  <si>
    <t xml:space="preserve">Braccio di leva </t>
  </si>
  <si>
    <t>Area del profilo (9cm)</t>
  </si>
  <si>
    <t>Area del profilo (5cm)</t>
  </si>
  <si>
    <t>Volume semi piano</t>
  </si>
  <si>
    <t>Apertura effettiva</t>
  </si>
  <si>
    <t>110°.00</t>
  </si>
  <si>
    <t>Nylon 5mm</t>
  </si>
  <si>
    <t>Carbonio 3mm</t>
  </si>
  <si>
    <t>Pel play 1 cm</t>
  </si>
  <si>
    <t>VTR 40g</t>
  </si>
  <si>
    <t>Supporto piani di coda</t>
  </si>
  <si>
    <t>Tiranteria piani di coda</t>
  </si>
  <si>
    <t>Tiranteria alettoni</t>
  </si>
  <si>
    <t>Carbon kevlar 160g/mq</t>
  </si>
  <si>
    <t xml:space="preserve">Calza </t>
  </si>
  <si>
    <t>Quantità</t>
  </si>
  <si>
    <t>Peso u.</t>
  </si>
  <si>
    <t>Rooving nf 12</t>
  </si>
  <si>
    <t>Pesi unitari</t>
  </si>
  <si>
    <t>Carbonio 160g</t>
  </si>
  <si>
    <t>Filo dacron</t>
  </si>
  <si>
    <t>Acciaio 1,5 mm + clips</t>
  </si>
  <si>
    <t>m</t>
  </si>
  <si>
    <t>Viti servi</t>
  </si>
  <si>
    <t xml:space="preserve">Servi </t>
  </si>
  <si>
    <t>Carbonio alluminio 4 mm.</t>
  </si>
  <si>
    <t>Vite in Nylon 3 mm con dado</t>
  </si>
  <si>
    <t>Spugna ammortizzante</t>
  </si>
  <si>
    <t>Regolatore 27  A con cavi</t>
  </si>
  <si>
    <t>Peso totale progettato</t>
  </si>
  <si>
    <t>Clandestini</t>
  </si>
  <si>
    <t>Materiale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</si>
</sst>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_-* #,##0.000_-;\-* #,##0.000_-;_-* &quot;-&quot;??_-;_-@_-"/>
    <numFmt numFmtId="166" formatCode="_-* #,##0.0000_-;\-* #,##0.0000_-;_-* &quot;-&quot;??_-;_-@_-"/>
  </numFmts>
  <fonts count="13">
    <font>
      <sz val="10"/>
      <name val="Arial"/>
      <family val="0"/>
    </font>
    <font>
      <b/>
      <sz val="10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sz val="10"/>
      <color indexed="12"/>
      <name val="Garamond"/>
      <family val="1"/>
    </font>
    <font>
      <sz val="10"/>
      <color indexed="10"/>
      <name val="Garamond"/>
      <family val="1"/>
    </font>
    <font>
      <b/>
      <i/>
      <sz val="10"/>
      <color indexed="10"/>
      <name val="Garamond"/>
      <family val="1"/>
    </font>
    <font>
      <b/>
      <i/>
      <sz val="16"/>
      <name val="Garamond"/>
      <family val="1"/>
    </font>
    <font>
      <b/>
      <i/>
      <sz val="10"/>
      <name val="Garamond"/>
      <family val="1"/>
    </font>
    <font>
      <sz val="18"/>
      <name val="Garamond"/>
      <family val="1"/>
    </font>
    <font>
      <b/>
      <sz val="10"/>
      <color indexed="10"/>
      <name val="Garamond"/>
      <family val="1"/>
    </font>
    <font>
      <sz val="10"/>
      <color indexed="9"/>
      <name val="Garamond"/>
      <family val="0"/>
    </font>
    <font>
      <sz val="10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2" fontId="5" fillId="0" borderId="0" xfId="0" applyNumberFormat="1" applyFont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43" fontId="0" fillId="0" borderId="0" xfId="15" applyAlignment="1">
      <alignment/>
    </xf>
    <xf numFmtId="43" fontId="4" fillId="0" borderId="0" xfId="15" applyFont="1" applyAlignment="1" applyProtection="1">
      <alignment/>
      <protection locked="0"/>
    </xf>
    <xf numFmtId="43" fontId="4" fillId="0" borderId="0" xfId="15" applyNumberFormat="1" applyFont="1" applyAlignment="1" applyProtection="1">
      <alignment/>
      <protection locked="0"/>
    </xf>
    <xf numFmtId="43" fontId="10" fillId="0" borderId="0" xfId="15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3" fontId="0" fillId="0" borderId="0" xfId="0" applyNumberFormat="1" applyAlignment="1">
      <alignment/>
    </xf>
    <xf numFmtId="43" fontId="0" fillId="2" borderId="0" xfId="15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43" fontId="0" fillId="0" borderId="0" xfId="15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43" fontId="0" fillId="0" borderId="0" xfId="15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43" fontId="0" fillId="0" borderId="0" xfId="15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3" fontId="0" fillId="0" borderId="4" xfId="15" applyFont="1" applyBorder="1" applyAlignment="1">
      <alignment/>
    </xf>
    <xf numFmtId="43" fontId="0" fillId="0" borderId="9" xfId="15" applyFont="1" applyBorder="1" applyAlignment="1">
      <alignment/>
    </xf>
    <xf numFmtId="43" fontId="0" fillId="0" borderId="4" xfId="15" applyBorder="1" applyAlignment="1">
      <alignment/>
    </xf>
    <xf numFmtId="0" fontId="0" fillId="0" borderId="4" xfId="0" applyFill="1" applyBorder="1" applyAlignment="1">
      <alignment/>
    </xf>
    <xf numFmtId="43" fontId="0" fillId="0" borderId="0" xfId="15" applyFont="1" applyBorder="1" applyAlignment="1">
      <alignment/>
    </xf>
    <xf numFmtId="0" fontId="0" fillId="0" borderId="3" xfId="0" applyFill="1" applyBorder="1" applyAlignment="1">
      <alignment/>
    </xf>
    <xf numFmtId="43" fontId="0" fillId="0" borderId="0" xfId="15" applyFill="1" applyBorder="1" applyAlignment="1">
      <alignment/>
    </xf>
    <xf numFmtId="0" fontId="0" fillId="0" borderId="0" xfId="0" applyFill="1" applyBorder="1" applyAlignment="1">
      <alignment/>
    </xf>
    <xf numFmtId="43" fontId="0" fillId="0" borderId="0" xfId="15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43" fontId="0" fillId="0" borderId="4" xfId="0" applyNumberFormat="1" applyFill="1" applyBorder="1" applyAlignment="1">
      <alignment/>
    </xf>
    <xf numFmtId="43" fontId="12" fillId="0" borderId="0" xfId="15" applyFont="1" applyFill="1" applyBorder="1" applyAlignment="1">
      <alignment/>
    </xf>
    <xf numFmtId="0" fontId="0" fillId="0" borderId="0" xfId="0" applyFill="1" applyBorder="1" applyAlignment="1">
      <alignment horizontal="center"/>
    </xf>
    <xf numFmtId="43" fontId="0" fillId="0" borderId="0" xfId="0" applyNumberFormat="1" applyFill="1" applyBorder="1" applyAlignment="1">
      <alignment horizontal="left"/>
    </xf>
    <xf numFmtId="43" fontId="0" fillId="0" borderId="6" xfId="15" applyFill="1" applyBorder="1" applyAlignment="1">
      <alignment/>
    </xf>
    <xf numFmtId="43" fontId="0" fillId="0" borderId="6" xfId="0" applyNumberFormat="1" applyFill="1" applyBorder="1" applyAlignment="1">
      <alignment/>
    </xf>
    <xf numFmtId="0" fontId="0" fillId="0" borderId="9" xfId="0" applyFill="1" applyBorder="1" applyAlignment="1">
      <alignment/>
    </xf>
    <xf numFmtId="43" fontId="1" fillId="3" borderId="11" xfId="15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7" xfId="0" applyFont="1" applyBorder="1" applyAlignment="1">
      <alignment/>
    </xf>
    <xf numFmtId="0" fontId="0" fillId="3" borderId="11" xfId="0" applyFill="1" applyBorder="1" applyAlignment="1">
      <alignment/>
    </xf>
    <xf numFmtId="43" fontId="0" fillId="0" borderId="4" xfId="15" applyBorder="1" applyAlignment="1">
      <alignment/>
    </xf>
    <xf numFmtId="43" fontId="0" fillId="0" borderId="4" xfId="15" applyFill="1" applyBorder="1" applyAlignment="1">
      <alignment/>
    </xf>
    <xf numFmtId="43" fontId="0" fillId="0" borderId="4" xfId="15" applyFont="1" applyFill="1" applyBorder="1" applyAlignment="1">
      <alignment horizontal="right"/>
    </xf>
    <xf numFmtId="43" fontId="0" fillId="0" borderId="4" xfId="15" applyFont="1" applyFill="1" applyBorder="1" applyAlignment="1">
      <alignment/>
    </xf>
    <xf numFmtId="43" fontId="0" fillId="0" borderId="4" xfId="15" applyFont="1" applyFill="1" applyBorder="1" applyAlignment="1">
      <alignment horizontal="right"/>
    </xf>
    <xf numFmtId="0" fontId="0" fillId="0" borderId="5" xfId="0" applyFill="1" applyBorder="1" applyAlignment="1">
      <alignment/>
    </xf>
    <xf numFmtId="43" fontId="0" fillId="0" borderId="9" xfId="15" applyFill="1" applyBorder="1" applyAlignment="1">
      <alignment/>
    </xf>
    <xf numFmtId="0" fontId="0" fillId="3" borderId="7" xfId="0" applyFill="1" applyBorder="1" applyAlignment="1">
      <alignment/>
    </xf>
    <xf numFmtId="43" fontId="0" fillId="3" borderId="8" xfId="15" applyFill="1" applyBorder="1" applyAlignment="1">
      <alignment/>
    </xf>
    <xf numFmtId="43" fontId="0" fillId="3" borderId="12" xfId="15" applyFill="1" applyBorder="1" applyAlignment="1">
      <alignment/>
    </xf>
    <xf numFmtId="0" fontId="1" fillId="0" borderId="3" xfId="0" applyFont="1" applyBorder="1" applyAlignment="1">
      <alignment horizontal="center"/>
    </xf>
    <xf numFmtId="43" fontId="1" fillId="0" borderId="0" xfId="15" applyFont="1" applyBorder="1" applyAlignment="1">
      <alignment/>
    </xf>
    <xf numFmtId="43" fontId="1" fillId="0" borderId="4" xfId="15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70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35.28125" style="0" customWidth="1"/>
    <col min="2" max="2" width="13.8515625" style="21" customWidth="1"/>
    <col min="3" max="3" width="9.8515625" style="21" bestFit="1" customWidth="1"/>
    <col min="4" max="4" width="12.140625" style="21" hidden="1" customWidth="1"/>
    <col min="5" max="5" width="15.421875" style="0" hidden="1" customWidth="1"/>
    <col min="6" max="6" width="18.140625" style="0" customWidth="1"/>
  </cols>
  <sheetData>
    <row r="2" ht="12.75" thickBot="1"/>
    <row r="3" spans="1:3" ht="12.75" thickBot="1">
      <c r="A3" s="91" t="s">
        <v>133</v>
      </c>
      <c r="B3" s="92"/>
      <c r="C3" s="93"/>
    </row>
    <row r="4" spans="1:5" ht="12.75">
      <c r="A4" s="94" t="s">
        <v>134</v>
      </c>
      <c r="B4" s="97" t="s">
        <v>135</v>
      </c>
      <c r="C4" s="98"/>
      <c r="E4" t="s">
        <v>136</v>
      </c>
    </row>
    <row r="5" spans="1:5" ht="12">
      <c r="A5" s="38" t="s">
        <v>137</v>
      </c>
      <c r="B5" s="41" t="s">
        <v>79</v>
      </c>
      <c r="C5" s="62">
        <v>13.7</v>
      </c>
      <c r="D5" s="21" t="s">
        <v>77</v>
      </c>
      <c r="E5">
        <v>34.39</v>
      </c>
    </row>
    <row r="6" spans="1:5" ht="12">
      <c r="A6" s="38" t="s">
        <v>138</v>
      </c>
      <c r="B6" s="64" t="s">
        <v>79</v>
      </c>
      <c r="C6" s="84">
        <v>4.77</v>
      </c>
      <c r="D6" s="21" t="s">
        <v>139</v>
      </c>
      <c r="E6">
        <v>20.29</v>
      </c>
    </row>
    <row r="7" spans="1:3" ht="12">
      <c r="A7" s="38" t="s">
        <v>140</v>
      </c>
      <c r="B7" s="41" t="s">
        <v>77</v>
      </c>
      <c r="C7" s="84">
        <v>17</v>
      </c>
    </row>
    <row r="8" spans="1:3" ht="12">
      <c r="A8" s="38" t="s">
        <v>141</v>
      </c>
      <c r="B8" s="41" t="s">
        <v>77</v>
      </c>
      <c r="C8" s="84">
        <v>10</v>
      </c>
    </row>
    <row r="9" spans="1:3" ht="12">
      <c r="A9" s="38" t="s">
        <v>142</v>
      </c>
      <c r="B9" s="64" t="s">
        <v>160</v>
      </c>
      <c r="C9" s="84">
        <f>(C5+C6)/2*C12/2</f>
        <v>808.0625</v>
      </c>
    </row>
    <row r="10" spans="1:3" ht="12">
      <c r="A10" s="38" t="s">
        <v>143</v>
      </c>
      <c r="B10" s="41" t="s">
        <v>77</v>
      </c>
      <c r="C10" s="85">
        <f>C14/C12*100</f>
        <v>13.10857142857143</v>
      </c>
    </row>
    <row r="11" spans="1:3" ht="12">
      <c r="A11" s="38" t="s">
        <v>144</v>
      </c>
      <c r="B11" s="41" t="s">
        <v>32</v>
      </c>
      <c r="C11" s="86" t="s">
        <v>145</v>
      </c>
    </row>
    <row r="12" spans="1:3" ht="12">
      <c r="A12" s="38" t="s">
        <v>146</v>
      </c>
      <c r="B12" s="41" t="s">
        <v>77</v>
      </c>
      <c r="C12" s="85">
        <v>175</v>
      </c>
    </row>
    <row r="13" spans="1:3" ht="12">
      <c r="A13" s="38" t="s">
        <v>147</v>
      </c>
      <c r="B13" s="41" t="s">
        <v>148</v>
      </c>
      <c r="C13" s="85">
        <v>23.04</v>
      </c>
    </row>
    <row r="14" spans="1:3" ht="12">
      <c r="A14" s="38" t="s">
        <v>149</v>
      </c>
      <c r="B14" s="41" t="s">
        <v>148</v>
      </c>
      <c r="C14" s="85">
        <v>22.94</v>
      </c>
    </row>
    <row r="15" spans="1:3" ht="12">
      <c r="A15" s="38" t="s">
        <v>150</v>
      </c>
      <c r="B15" s="41"/>
      <c r="C15" s="85">
        <f>C12/C10</f>
        <v>13.350043591979073</v>
      </c>
    </row>
    <row r="16" spans="1:3" ht="12">
      <c r="A16" s="38" t="s">
        <v>151</v>
      </c>
      <c r="B16" s="41" t="s">
        <v>79</v>
      </c>
      <c r="C16" s="85">
        <f>(E5+E6)/2*C12</f>
        <v>4784.5</v>
      </c>
    </row>
    <row r="17" spans="1:3" ht="12">
      <c r="A17" s="38"/>
      <c r="B17" s="41"/>
      <c r="C17" s="85"/>
    </row>
    <row r="18" spans="1:3" ht="12.75">
      <c r="A18" s="94" t="s">
        <v>154</v>
      </c>
      <c r="B18" s="95" t="s">
        <v>155</v>
      </c>
      <c r="C18" s="96"/>
    </row>
    <row r="19" spans="1:3" ht="12">
      <c r="A19" s="38" t="s">
        <v>200</v>
      </c>
      <c r="B19" s="41" t="s">
        <v>79</v>
      </c>
      <c r="C19" s="87">
        <v>2.76</v>
      </c>
    </row>
    <row r="20" spans="1:3" ht="12">
      <c r="A20" s="38" t="s">
        <v>201</v>
      </c>
      <c r="B20" s="64" t="s">
        <v>79</v>
      </c>
      <c r="C20" s="87">
        <v>0.9</v>
      </c>
    </row>
    <row r="21" spans="1:3" ht="12">
      <c r="A21" s="38" t="s">
        <v>140</v>
      </c>
      <c r="B21" s="64" t="s">
        <v>77</v>
      </c>
      <c r="C21" s="87">
        <v>90</v>
      </c>
    </row>
    <row r="22" spans="1:5" ht="12">
      <c r="A22" s="38" t="s">
        <v>141</v>
      </c>
      <c r="B22" s="64" t="s">
        <v>77</v>
      </c>
      <c r="C22" s="87">
        <v>50</v>
      </c>
      <c r="E22" s="30"/>
    </row>
    <row r="23" spans="1:5" ht="12">
      <c r="A23" s="38" t="s">
        <v>202</v>
      </c>
      <c r="B23" s="64" t="s">
        <v>160</v>
      </c>
      <c r="C23" s="87">
        <f>(C19+C20)/2*C24/2</f>
        <v>36.599999999999994</v>
      </c>
      <c r="E23" s="30"/>
    </row>
    <row r="24" spans="1:3" ht="12">
      <c r="A24" s="38" t="s">
        <v>203</v>
      </c>
      <c r="B24" s="64" t="s">
        <v>77</v>
      </c>
      <c r="C24" s="87">
        <v>40</v>
      </c>
    </row>
    <row r="25" spans="1:3" ht="12">
      <c r="A25" s="38" t="s">
        <v>156</v>
      </c>
      <c r="B25" s="64" t="s">
        <v>32</v>
      </c>
      <c r="C25" s="88" t="s">
        <v>204</v>
      </c>
    </row>
    <row r="26" spans="1:3" ht="12">
      <c r="A26" s="38" t="s">
        <v>157</v>
      </c>
      <c r="B26" s="64" t="s">
        <v>148</v>
      </c>
      <c r="C26" s="87">
        <v>2.8</v>
      </c>
    </row>
    <row r="27" spans="1:3" ht="12">
      <c r="A27" s="38" t="s">
        <v>158</v>
      </c>
      <c r="B27" s="64" t="s">
        <v>148</v>
      </c>
      <c r="C27" s="87">
        <v>2.29</v>
      </c>
    </row>
    <row r="28" spans="1:3" ht="12">
      <c r="A28" s="38" t="s">
        <v>159</v>
      </c>
      <c r="B28" s="64" t="s">
        <v>148</v>
      </c>
      <c r="C28" s="87">
        <v>0.8</v>
      </c>
    </row>
    <row r="29" spans="1:3" ht="12">
      <c r="A29" s="38" t="s">
        <v>150</v>
      </c>
      <c r="B29" s="41"/>
      <c r="C29" s="87">
        <v>5.63</v>
      </c>
    </row>
    <row r="30" spans="1:3" ht="12">
      <c r="A30" s="38"/>
      <c r="B30" s="41"/>
      <c r="C30" s="87"/>
    </row>
    <row r="31" spans="1:3" ht="12">
      <c r="A31" s="38" t="s">
        <v>199</v>
      </c>
      <c r="B31" s="41" t="s">
        <v>77</v>
      </c>
      <c r="C31" s="85">
        <v>70</v>
      </c>
    </row>
    <row r="32" spans="1:3" ht="12">
      <c r="A32" s="38"/>
      <c r="B32" s="41"/>
      <c r="C32" s="62"/>
    </row>
    <row r="33" spans="1:4" s="26" customFormat="1" ht="12.75" thickBot="1">
      <c r="A33" s="89" t="s">
        <v>153</v>
      </c>
      <c r="B33" s="74"/>
      <c r="C33" s="90">
        <f>(C27*C31)/(C14*C10)</f>
        <v>0.5330706159656858</v>
      </c>
      <c r="D33" s="34"/>
    </row>
    <row r="73" spans="1:6" ht="12">
      <c r="A73" s="26"/>
      <c r="B73" s="34"/>
      <c r="C73" s="34"/>
      <c r="D73" s="34"/>
      <c r="E73" s="26"/>
      <c r="F73" s="26"/>
    </row>
    <row r="82" spans="1:5" s="26" customFormat="1" ht="12">
      <c r="A82"/>
      <c r="B82" s="21"/>
      <c r="C82" s="21"/>
      <c r="D82" s="21"/>
      <c r="E82"/>
    </row>
    <row r="88" ht="12">
      <c r="F88" s="30"/>
    </row>
    <row r="89" ht="12">
      <c r="F89" s="30"/>
    </row>
    <row r="142" ht="12">
      <c r="F142" s="30"/>
    </row>
    <row r="150" ht="12">
      <c r="F150" s="21"/>
    </row>
    <row r="151" ht="12">
      <c r="F151" s="21"/>
    </row>
    <row r="152" ht="12">
      <c r="F152" t="s">
        <v>169</v>
      </c>
    </row>
    <row r="153" ht="12">
      <c r="F153" s="32">
        <v>3.68</v>
      </c>
    </row>
    <row r="154" ht="12">
      <c r="F154" s="32">
        <v>1.68</v>
      </c>
    </row>
    <row r="155" ht="12">
      <c r="F155" s="21">
        <f>'Analisi dei pesi'!C78*'Analisi dei pesi'!E78</f>
        <v>7</v>
      </c>
    </row>
    <row r="156" ht="12">
      <c r="F156" s="21">
        <f>'Analisi dei pesi'!C79*'Analisi dei pesi'!E79</f>
        <v>9.799999999999999</v>
      </c>
    </row>
    <row r="157" ht="12">
      <c r="F157" s="21">
        <f>'Analisi dei pesi'!C80*'Analisi dei pesi'!E80</f>
        <v>14</v>
      </c>
    </row>
    <row r="158" ht="12">
      <c r="F158" s="21">
        <f>'Analisi dei pesi'!C81*'Analisi dei pesi'!E81</f>
        <v>7</v>
      </c>
    </row>
    <row r="159" ht="12">
      <c r="F159" s="31">
        <v>22.18</v>
      </c>
    </row>
    <row r="160" ht="12">
      <c r="F160" s="21">
        <f>'Analisi dei pesi'!C83*'Analisi dei pesi'!E83</f>
        <v>14</v>
      </c>
    </row>
    <row r="162" ht="12">
      <c r="F162" s="21">
        <f>'Analisi dei pesi'!C85*'Analisi dei pesi'!E85</f>
        <v>13.187999999999999</v>
      </c>
    </row>
    <row r="163" ht="12">
      <c r="F163" s="31">
        <v>19.9</v>
      </c>
    </row>
    <row r="164" ht="12">
      <c r="F164" s="31">
        <v>23.5</v>
      </c>
    </row>
    <row r="165" ht="12">
      <c r="F165" s="21">
        <f>'Analisi dei pesi'!C88*'Analisi dei pesi'!E88</f>
        <v>30.772</v>
      </c>
    </row>
    <row r="166" ht="12">
      <c r="F166">
        <v>12</v>
      </c>
    </row>
    <row r="167" ht="12">
      <c r="F167">
        <v>15</v>
      </c>
    </row>
    <row r="168" ht="12">
      <c r="F168">
        <v>19.3</v>
      </c>
    </row>
    <row r="169" ht="12">
      <c r="F169">
        <v>30.5</v>
      </c>
    </row>
    <row r="170" ht="12">
      <c r="F170" s="30">
        <f>'Analisi dei pesi'!E93*'Analisi dei pesi'!D93</f>
        <v>8.75</v>
      </c>
    </row>
  </sheetData>
  <mergeCells count="1">
    <mergeCell ref="B4:C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07"/>
  <sheetViews>
    <sheetView workbookViewId="0" topLeftCell="A4">
      <selection activeCell="I21" sqref="I21"/>
    </sheetView>
  </sheetViews>
  <sheetFormatPr defaultColWidth="9.140625" defaultRowHeight="12.75"/>
  <cols>
    <col min="1" max="1" width="23.28125" style="0" customWidth="1"/>
    <col min="2" max="2" width="24.421875" style="0" customWidth="1"/>
    <col min="5" max="5" width="8.7109375" style="33" customWidth="1"/>
    <col min="7" max="7" width="8.7109375" style="33" customWidth="1"/>
    <col min="8" max="8" width="8.8515625" style="0" bestFit="1" customWidth="1"/>
    <col min="9" max="9" width="12.57421875" style="0" customWidth="1"/>
  </cols>
  <sheetData>
    <row r="2" ht="12.75" thickBot="1"/>
    <row r="3" spans="1:8" ht="12.75" thickBot="1">
      <c r="A3" s="78" t="s">
        <v>107</v>
      </c>
      <c r="B3" s="82" t="s">
        <v>230</v>
      </c>
      <c r="C3" s="79"/>
      <c r="D3" s="79" t="s">
        <v>214</v>
      </c>
      <c r="E3" s="80"/>
      <c r="F3" s="79" t="s">
        <v>215</v>
      </c>
      <c r="G3" s="80"/>
      <c r="H3" s="81"/>
    </row>
    <row r="4" spans="1:8" ht="12">
      <c r="A4" s="48" t="s">
        <v>108</v>
      </c>
      <c r="B4" s="49" t="s">
        <v>189</v>
      </c>
      <c r="C4" s="50" t="s">
        <v>186</v>
      </c>
      <c r="D4" s="49">
        <f>808*2</f>
        <v>1616</v>
      </c>
      <c r="E4" s="50" t="s">
        <v>187</v>
      </c>
      <c r="F4" s="49">
        <v>30</v>
      </c>
      <c r="G4" s="50" t="s">
        <v>188</v>
      </c>
      <c r="H4" s="60">
        <f>D4*F4/1000</f>
        <v>48.48</v>
      </c>
    </row>
    <row r="5" spans="1:8" ht="12">
      <c r="A5" s="48" t="s">
        <v>109</v>
      </c>
      <c r="B5" s="49" t="s">
        <v>190</v>
      </c>
      <c r="C5" s="50" t="s">
        <v>79</v>
      </c>
      <c r="D5" s="49">
        <f>170*2.5</f>
        <v>425</v>
      </c>
      <c r="E5" s="50" t="s">
        <v>152</v>
      </c>
      <c r="F5" s="49">
        <v>320</v>
      </c>
      <c r="G5" s="50" t="s">
        <v>188</v>
      </c>
      <c r="H5" s="60">
        <f>D5*F5/10000</f>
        <v>13.6</v>
      </c>
    </row>
    <row r="6" spans="1:8" ht="12">
      <c r="A6" s="48" t="s">
        <v>110</v>
      </c>
      <c r="B6" s="49" t="s">
        <v>190</v>
      </c>
      <c r="C6" s="50" t="s">
        <v>79</v>
      </c>
      <c r="D6" s="49">
        <f>70*2.5</f>
        <v>175</v>
      </c>
      <c r="E6" s="50" t="s">
        <v>152</v>
      </c>
      <c r="F6" s="49">
        <v>320</v>
      </c>
      <c r="G6" s="50" t="s">
        <v>188</v>
      </c>
      <c r="H6" s="60">
        <f>D6*F6/10000</f>
        <v>5.6</v>
      </c>
    </row>
    <row r="7" spans="1:8" ht="12">
      <c r="A7" s="48" t="s">
        <v>111</v>
      </c>
      <c r="B7" s="49" t="s">
        <v>191</v>
      </c>
      <c r="C7" s="50" t="s">
        <v>79</v>
      </c>
      <c r="D7" s="49">
        <v>26</v>
      </c>
      <c r="E7" s="50" t="s">
        <v>152</v>
      </c>
      <c r="F7" s="49">
        <v>640</v>
      </c>
      <c r="G7" s="50" t="s">
        <v>188</v>
      </c>
      <c r="H7" s="60">
        <f>D7*F7/10000</f>
        <v>1.664</v>
      </c>
    </row>
    <row r="8" spans="1:8" ht="12">
      <c r="A8" s="48" t="s">
        <v>112</v>
      </c>
      <c r="B8" s="49" t="s">
        <v>192</v>
      </c>
      <c r="C8" s="50" t="s">
        <v>161</v>
      </c>
      <c r="D8" s="49">
        <v>165</v>
      </c>
      <c r="E8" s="50" t="s">
        <v>165</v>
      </c>
      <c r="F8" s="49">
        <v>1.8</v>
      </c>
      <c r="G8" s="50" t="s">
        <v>188</v>
      </c>
      <c r="H8" s="60">
        <f>D8*F8/100</f>
        <v>2.97</v>
      </c>
    </row>
    <row r="9" spans="1:8" ht="12">
      <c r="A9" s="48" t="s">
        <v>113</v>
      </c>
      <c r="B9" s="49" t="s">
        <v>192</v>
      </c>
      <c r="C9" s="50" t="s">
        <v>161</v>
      </c>
      <c r="D9" s="49">
        <v>175</v>
      </c>
      <c r="E9" s="50" t="s">
        <v>165</v>
      </c>
      <c r="F9" s="49">
        <v>1.8</v>
      </c>
      <c r="G9" s="50" t="s">
        <v>188</v>
      </c>
      <c r="H9" s="60">
        <f>D9*F9/100</f>
        <v>3.15</v>
      </c>
    </row>
    <row r="10" spans="1:8" ht="12">
      <c r="A10" s="48" t="s">
        <v>114</v>
      </c>
      <c r="B10" s="49" t="s">
        <v>193</v>
      </c>
      <c r="C10" s="50" t="s">
        <v>194</v>
      </c>
      <c r="D10" s="51">
        <v>46.48</v>
      </c>
      <c r="E10" s="50" t="s">
        <v>152</v>
      </c>
      <c r="F10" s="49">
        <v>80</v>
      </c>
      <c r="G10" s="50" t="s">
        <v>188</v>
      </c>
      <c r="H10" s="60">
        <f>D10*F10/100</f>
        <v>37.184</v>
      </c>
    </row>
    <row r="11" spans="1:8" ht="12">
      <c r="A11" s="48" t="s">
        <v>115</v>
      </c>
      <c r="B11" s="49" t="s">
        <v>198</v>
      </c>
      <c r="C11" s="50" t="s">
        <v>79</v>
      </c>
      <c r="D11" s="49">
        <f>34*8</f>
        <v>272</v>
      </c>
      <c r="E11" s="50" t="s">
        <v>152</v>
      </c>
      <c r="F11" s="49">
        <v>160</v>
      </c>
      <c r="G11" s="50" t="s">
        <v>188</v>
      </c>
      <c r="H11" s="60">
        <f>D11*F11/10000</f>
        <v>4.352</v>
      </c>
    </row>
    <row r="12" spans="1:8" ht="12">
      <c r="A12" s="48" t="s">
        <v>116</v>
      </c>
      <c r="B12" s="49" t="s">
        <v>205</v>
      </c>
      <c r="C12" s="50" t="s">
        <v>195</v>
      </c>
      <c r="D12" s="49">
        <v>1</v>
      </c>
      <c r="E12" s="50" t="s">
        <v>196</v>
      </c>
      <c r="F12" s="49">
        <v>0.5</v>
      </c>
      <c r="G12" s="50" t="s">
        <v>188</v>
      </c>
      <c r="H12" s="60">
        <f>D12*F12</f>
        <v>0.5</v>
      </c>
    </row>
    <row r="13" spans="1:8" ht="12">
      <c r="A13" s="48" t="s">
        <v>117</v>
      </c>
      <c r="B13" s="49" t="s">
        <v>206</v>
      </c>
      <c r="C13" s="50" t="s">
        <v>161</v>
      </c>
      <c r="D13" s="49">
        <v>3</v>
      </c>
      <c r="E13" s="50" t="s">
        <v>197</v>
      </c>
      <c r="F13" s="49">
        <v>10</v>
      </c>
      <c r="G13" s="50" t="s">
        <v>188</v>
      </c>
      <c r="H13" s="60">
        <f>D13*F13/100</f>
        <v>0.3</v>
      </c>
    </row>
    <row r="14" spans="1:8" ht="12">
      <c r="A14" s="48" t="s">
        <v>118</v>
      </c>
      <c r="B14" s="49" t="s">
        <v>207</v>
      </c>
      <c r="C14" s="50" t="s">
        <v>161</v>
      </c>
      <c r="D14" s="49">
        <v>175</v>
      </c>
      <c r="E14" s="50" t="s">
        <v>197</v>
      </c>
      <c r="F14" s="49">
        <v>0.7</v>
      </c>
      <c r="G14" s="50" t="s">
        <v>188</v>
      </c>
      <c r="H14" s="60">
        <f>D14*F14/100</f>
        <v>1.2249999999999999</v>
      </c>
    </row>
    <row r="15" spans="1:8" ht="12">
      <c r="A15" s="48" t="s">
        <v>119</v>
      </c>
      <c r="B15" s="49" t="s">
        <v>191</v>
      </c>
      <c r="C15" s="50" t="s">
        <v>195</v>
      </c>
      <c r="D15" s="49">
        <v>2</v>
      </c>
      <c r="E15" s="50" t="s">
        <v>196</v>
      </c>
      <c r="F15" s="49">
        <v>0.8</v>
      </c>
      <c r="G15" s="50" t="s">
        <v>188</v>
      </c>
      <c r="H15" s="60">
        <f>D15*F15</f>
        <v>1.6</v>
      </c>
    </row>
    <row r="16" spans="1:8" ht="12">
      <c r="A16" s="48" t="s">
        <v>120</v>
      </c>
      <c r="B16" s="49" t="s">
        <v>208</v>
      </c>
      <c r="C16" s="50" t="s">
        <v>79</v>
      </c>
      <c r="D16" s="49">
        <f>170*1.5</f>
        <v>255</v>
      </c>
      <c r="E16" s="50" t="s">
        <v>196</v>
      </c>
      <c r="F16" s="49">
        <v>1.8</v>
      </c>
      <c r="G16" s="50" t="s">
        <v>188</v>
      </c>
      <c r="H16" s="60">
        <f>D16*F16/100</f>
        <v>4.59</v>
      </c>
    </row>
    <row r="17" spans="1:8" ht="12.75" thickBot="1">
      <c r="A17" s="52" t="s">
        <v>121</v>
      </c>
      <c r="B17" s="53" t="s">
        <v>191</v>
      </c>
      <c r="C17" s="54" t="s">
        <v>79</v>
      </c>
      <c r="D17" s="53">
        <v>22</v>
      </c>
      <c r="E17" s="54" t="s">
        <v>152</v>
      </c>
      <c r="F17" s="53">
        <v>320</v>
      </c>
      <c r="G17" s="54" t="s">
        <v>188</v>
      </c>
      <c r="H17" s="61">
        <f>D17*F17/100/100</f>
        <v>0.7040000000000001</v>
      </c>
    </row>
    <row r="18" spans="1:8" ht="13.5" thickBot="1">
      <c r="A18" s="43"/>
      <c r="B18" s="44"/>
      <c r="C18" s="44"/>
      <c r="D18" s="44"/>
      <c r="E18" s="45"/>
      <c r="F18" s="44"/>
      <c r="G18" s="45"/>
      <c r="H18" s="77">
        <f>SUM(H4:H17)</f>
        <v>125.91899999999998</v>
      </c>
    </row>
    <row r="19" spans="1:8" ht="12.75" thickBot="1">
      <c r="A19" s="83" t="s">
        <v>106</v>
      </c>
      <c r="B19" s="82" t="s">
        <v>230</v>
      </c>
      <c r="C19" s="79"/>
      <c r="D19" s="79" t="s">
        <v>214</v>
      </c>
      <c r="E19" s="80"/>
      <c r="F19" s="79" t="s">
        <v>215</v>
      </c>
      <c r="G19" s="80"/>
      <c r="H19" s="81"/>
    </row>
    <row r="20" spans="1:9" ht="12">
      <c r="A20" s="38" t="s">
        <v>108</v>
      </c>
      <c r="B20" s="39" t="s">
        <v>189</v>
      </c>
      <c r="C20" s="40" t="s">
        <v>186</v>
      </c>
      <c r="D20" s="39">
        <v>72</v>
      </c>
      <c r="E20" s="40" t="s">
        <v>187</v>
      </c>
      <c r="F20" s="39">
        <f>36*2</f>
        <v>72</v>
      </c>
      <c r="G20" s="40" t="s">
        <v>188</v>
      </c>
      <c r="H20" s="62">
        <f>D20*F20/1000</f>
        <v>5.184</v>
      </c>
      <c r="I20">
        <v>4.4</v>
      </c>
    </row>
    <row r="21" spans="1:8" ht="12">
      <c r="A21" s="38" t="s">
        <v>113</v>
      </c>
      <c r="B21" s="39" t="s">
        <v>216</v>
      </c>
      <c r="C21" s="40" t="s">
        <v>161</v>
      </c>
      <c r="D21" s="39">
        <v>40</v>
      </c>
      <c r="E21" s="40" t="s">
        <v>165</v>
      </c>
      <c r="F21" s="39">
        <v>0.9</v>
      </c>
      <c r="G21" s="40" t="s">
        <v>188</v>
      </c>
      <c r="H21" s="62">
        <f>D21*F21/100</f>
        <v>0.36</v>
      </c>
    </row>
    <row r="22" spans="1:9" ht="12">
      <c r="A22" s="38" t="s">
        <v>112</v>
      </c>
      <c r="B22" s="39" t="s">
        <v>216</v>
      </c>
      <c r="C22" s="40" t="s">
        <v>161</v>
      </c>
      <c r="D22" s="39">
        <v>40</v>
      </c>
      <c r="E22" s="40" t="s">
        <v>152</v>
      </c>
      <c r="F22" s="39">
        <v>0.9</v>
      </c>
      <c r="G22" s="40" t="s">
        <v>188</v>
      </c>
      <c r="H22" s="62">
        <f>D22*F22/100</f>
        <v>0.36</v>
      </c>
      <c r="I22">
        <v>1.2</v>
      </c>
    </row>
    <row r="23" spans="1:8" ht="12">
      <c r="A23" s="38" t="s">
        <v>114</v>
      </c>
      <c r="B23" s="39" t="s">
        <v>193</v>
      </c>
      <c r="C23" s="40" t="s">
        <v>194</v>
      </c>
      <c r="D23" s="39">
        <f>2.8*2</f>
        <v>5.6</v>
      </c>
      <c r="E23" s="40" t="s">
        <v>152</v>
      </c>
      <c r="F23" s="39">
        <v>80</v>
      </c>
      <c r="G23" s="40" t="s">
        <v>188</v>
      </c>
      <c r="H23" s="62">
        <f>D23*F23/100</f>
        <v>4.48</v>
      </c>
    </row>
    <row r="24" spans="1:8" ht="12">
      <c r="A24" s="38" t="s">
        <v>109</v>
      </c>
      <c r="B24" s="39" t="s">
        <v>216</v>
      </c>
      <c r="C24" s="40" t="s">
        <v>161</v>
      </c>
      <c r="D24" s="39">
        <v>40</v>
      </c>
      <c r="E24" s="40" t="s">
        <v>165</v>
      </c>
      <c r="F24" s="39">
        <v>0.9</v>
      </c>
      <c r="G24" s="40" t="s">
        <v>188</v>
      </c>
      <c r="H24" s="62">
        <f>D24*F24/100</f>
        <v>0.36</v>
      </c>
    </row>
    <row r="25" spans="1:9" ht="12">
      <c r="A25" s="38" t="s">
        <v>122</v>
      </c>
      <c r="B25" s="39" t="s">
        <v>191</v>
      </c>
      <c r="C25" s="40" t="s">
        <v>139</v>
      </c>
      <c r="D25" s="39">
        <v>14</v>
      </c>
      <c r="E25" s="40" t="s">
        <v>165</v>
      </c>
      <c r="F25" s="39">
        <v>10</v>
      </c>
      <c r="G25" s="40" t="s">
        <v>188</v>
      </c>
      <c r="H25" s="62">
        <f>D25*F25/100</f>
        <v>1.4</v>
      </c>
      <c r="I25">
        <v>1.7</v>
      </c>
    </row>
    <row r="26" spans="1:8" ht="12.75" thickBot="1">
      <c r="A26" s="38" t="s">
        <v>123</v>
      </c>
      <c r="B26" s="39" t="s">
        <v>225</v>
      </c>
      <c r="C26" s="40" t="s">
        <v>195</v>
      </c>
      <c r="D26" s="39">
        <v>2</v>
      </c>
      <c r="E26" s="40" t="s">
        <v>196</v>
      </c>
      <c r="F26" s="39">
        <v>0.3</v>
      </c>
      <c r="G26" s="40" t="s">
        <v>188</v>
      </c>
      <c r="H26" s="62">
        <f>D26*F26</f>
        <v>0.6</v>
      </c>
    </row>
    <row r="27" spans="1:8" ht="13.5" thickBot="1">
      <c r="A27" s="55"/>
      <c r="B27" s="56"/>
      <c r="C27" s="56"/>
      <c r="D27" s="56"/>
      <c r="E27" s="57"/>
      <c r="F27" s="56"/>
      <c r="G27" s="57"/>
      <c r="H27" s="77">
        <f>SUM(H20:H25)</f>
        <v>12.144</v>
      </c>
    </row>
    <row r="28" spans="1:8" ht="12.75" thickBot="1">
      <c r="A28" s="38"/>
      <c r="B28" s="39"/>
      <c r="C28" s="39"/>
      <c r="D28" s="39"/>
      <c r="E28" s="40"/>
      <c r="F28" s="39"/>
      <c r="G28" s="40"/>
      <c r="H28" s="42"/>
    </row>
    <row r="29" spans="1:8" ht="12.75" thickBot="1">
      <c r="A29" s="83" t="s">
        <v>104</v>
      </c>
      <c r="B29" s="82" t="s">
        <v>230</v>
      </c>
      <c r="C29" s="79"/>
      <c r="D29" s="79" t="s">
        <v>214</v>
      </c>
      <c r="E29" s="80"/>
      <c r="F29" s="79" t="s">
        <v>215</v>
      </c>
      <c r="G29" s="80"/>
      <c r="H29" s="81"/>
    </row>
    <row r="30" spans="1:8" ht="12">
      <c r="A30" s="38" t="s">
        <v>105</v>
      </c>
      <c r="B30" s="39" t="s">
        <v>212</v>
      </c>
      <c r="C30" s="39"/>
      <c r="D30" s="39"/>
      <c r="E30" s="40"/>
      <c r="F30" s="39"/>
      <c r="G30" s="40"/>
      <c r="H30" s="42">
        <v>30</v>
      </c>
    </row>
    <row r="31" spans="1:8" ht="12">
      <c r="A31" s="38" t="s">
        <v>124</v>
      </c>
      <c r="B31" s="39" t="s">
        <v>213</v>
      </c>
      <c r="C31" s="39"/>
      <c r="D31" s="39"/>
      <c r="E31" s="40"/>
      <c r="F31" s="39"/>
      <c r="G31" s="40"/>
      <c r="H31" s="42">
        <v>10</v>
      </c>
    </row>
    <row r="32" spans="1:8" ht="12">
      <c r="A32" s="38" t="s">
        <v>125</v>
      </c>
      <c r="B32" s="39" t="s">
        <v>218</v>
      </c>
      <c r="C32" s="40" t="s">
        <v>79</v>
      </c>
      <c r="D32" s="39">
        <v>33</v>
      </c>
      <c r="E32" s="40" t="s">
        <v>152</v>
      </c>
      <c r="F32" s="39">
        <v>320</v>
      </c>
      <c r="G32" s="40" t="s">
        <v>188</v>
      </c>
      <c r="H32" s="42">
        <f>F32*D32/100/100</f>
        <v>1.056</v>
      </c>
    </row>
    <row r="33" spans="1:8" ht="12">
      <c r="A33" s="38" t="s">
        <v>126</v>
      </c>
      <c r="B33" s="39" t="s">
        <v>218</v>
      </c>
      <c r="C33" s="40" t="s">
        <v>79</v>
      </c>
      <c r="D33" s="39">
        <v>15</v>
      </c>
      <c r="E33" s="40" t="s">
        <v>152</v>
      </c>
      <c r="F33" s="39">
        <v>320</v>
      </c>
      <c r="G33" s="40" t="s">
        <v>188</v>
      </c>
      <c r="H33" s="42">
        <f>F33*D33/100/100</f>
        <v>0.48</v>
      </c>
    </row>
    <row r="34" spans="1:8" ht="12">
      <c r="A34" s="38" t="s">
        <v>127</v>
      </c>
      <c r="B34" s="39" t="s">
        <v>218</v>
      </c>
      <c r="C34" s="40" t="s">
        <v>195</v>
      </c>
      <c r="D34" s="39">
        <v>1</v>
      </c>
      <c r="E34" s="40"/>
      <c r="F34" s="39"/>
      <c r="G34" s="40" t="s">
        <v>188</v>
      </c>
      <c r="H34" s="42">
        <v>2</v>
      </c>
    </row>
    <row r="35" spans="1:8" ht="12">
      <c r="A35" s="38" t="s">
        <v>209</v>
      </c>
      <c r="B35" s="39" t="s">
        <v>224</v>
      </c>
      <c r="C35" s="40" t="s">
        <v>139</v>
      </c>
      <c r="D35" s="39">
        <v>10</v>
      </c>
      <c r="E35" s="40" t="s">
        <v>197</v>
      </c>
      <c r="F35" s="39">
        <v>18</v>
      </c>
      <c r="G35" s="40" t="s">
        <v>188</v>
      </c>
      <c r="H35" s="42">
        <f>D35*F35/100</f>
        <v>1.8</v>
      </c>
    </row>
    <row r="36" spans="1:8" ht="12.75" thickBot="1">
      <c r="A36" s="38" t="s">
        <v>210</v>
      </c>
      <c r="B36" s="39" t="s">
        <v>219</v>
      </c>
      <c r="C36" s="40" t="s">
        <v>221</v>
      </c>
      <c r="D36" s="39">
        <v>1.5</v>
      </c>
      <c r="E36" s="40" t="s">
        <v>197</v>
      </c>
      <c r="F36" s="39">
        <v>0.5</v>
      </c>
      <c r="G36" s="40" t="s">
        <v>188</v>
      </c>
      <c r="H36" s="42">
        <f>D36*F36</f>
        <v>0.75</v>
      </c>
    </row>
    <row r="37" spans="1:8" ht="13.5" thickBot="1">
      <c r="A37" s="55" t="s">
        <v>211</v>
      </c>
      <c r="B37" s="56" t="s">
        <v>220</v>
      </c>
      <c r="C37" s="57"/>
      <c r="D37" s="56"/>
      <c r="E37" s="57"/>
      <c r="F37" s="56"/>
      <c r="G37" s="57"/>
      <c r="H37" s="77">
        <f>SUM(H30:H36)</f>
        <v>46.08599999999999</v>
      </c>
    </row>
    <row r="38" spans="1:8" ht="12.75" thickBot="1">
      <c r="A38" s="38"/>
      <c r="B38" s="39"/>
      <c r="C38" s="40"/>
      <c r="D38" s="39"/>
      <c r="E38" s="40"/>
      <c r="F38" s="39"/>
      <c r="G38" s="40"/>
      <c r="H38" s="42"/>
    </row>
    <row r="39" spans="1:8" ht="12.75" thickBot="1">
      <c r="A39" s="83" t="s">
        <v>128</v>
      </c>
      <c r="B39" s="35"/>
      <c r="C39" s="36"/>
      <c r="D39" s="46" t="s">
        <v>214</v>
      </c>
      <c r="E39" s="47"/>
      <c r="F39" s="46" t="s">
        <v>215</v>
      </c>
      <c r="G39" s="36"/>
      <c r="H39" s="37"/>
    </row>
    <row r="40" spans="1:8" ht="12">
      <c r="A40" s="38" t="s">
        <v>99</v>
      </c>
      <c r="B40" s="39"/>
      <c r="C40" s="40"/>
      <c r="D40" s="39"/>
      <c r="E40" s="40"/>
      <c r="F40" s="39"/>
      <c r="G40" s="40"/>
      <c r="H40" s="42">
        <v>70</v>
      </c>
    </row>
    <row r="41" spans="1:8" ht="12">
      <c r="A41" s="38" t="s">
        <v>100</v>
      </c>
      <c r="B41" s="39"/>
      <c r="C41" s="40"/>
      <c r="D41" s="39"/>
      <c r="E41" s="40"/>
      <c r="F41" s="39"/>
      <c r="G41" s="40"/>
      <c r="H41" s="42">
        <v>16</v>
      </c>
    </row>
    <row r="42" spans="1:8" ht="12">
      <c r="A42" s="38" t="s">
        <v>101</v>
      </c>
      <c r="B42" s="39"/>
      <c r="C42" s="40"/>
      <c r="D42" s="39"/>
      <c r="E42" s="40"/>
      <c r="F42" s="39"/>
      <c r="G42" s="40"/>
      <c r="H42" s="42">
        <v>4</v>
      </c>
    </row>
    <row r="43" spans="1:8" ht="12">
      <c r="A43" s="38" t="s">
        <v>102</v>
      </c>
      <c r="B43" s="39"/>
      <c r="C43" s="40"/>
      <c r="D43" s="39"/>
      <c r="E43" s="40"/>
      <c r="F43" s="39"/>
      <c r="G43" s="40"/>
      <c r="H43" s="42">
        <v>27</v>
      </c>
    </row>
    <row r="44" spans="1:8" ht="12">
      <c r="A44" s="38" t="s">
        <v>103</v>
      </c>
      <c r="B44" s="39"/>
      <c r="C44" s="40"/>
      <c r="D44" s="39"/>
      <c r="E44" s="40"/>
      <c r="F44" s="39"/>
      <c r="G44" s="40"/>
      <c r="H44" s="42">
        <v>155</v>
      </c>
    </row>
    <row r="45" spans="1:8" ht="12.75" thickBot="1">
      <c r="A45" s="43" t="s">
        <v>129</v>
      </c>
      <c r="B45" s="44"/>
      <c r="C45" s="45"/>
      <c r="D45" s="44"/>
      <c r="E45" s="45"/>
      <c r="F45" s="44"/>
      <c r="G45" s="45"/>
      <c r="H45" s="58">
        <v>5</v>
      </c>
    </row>
    <row r="46" spans="1:8" ht="13.5" thickBot="1">
      <c r="A46" s="43"/>
      <c r="B46" s="44"/>
      <c r="C46" s="45"/>
      <c r="D46" s="44"/>
      <c r="E46" s="45"/>
      <c r="F46" s="44"/>
      <c r="G46" s="45"/>
      <c r="H46" s="77">
        <f>SUM(H40:H45)</f>
        <v>277</v>
      </c>
    </row>
    <row r="47" spans="1:8" ht="12.75" thickBot="1">
      <c r="A47" s="38"/>
      <c r="B47" s="39"/>
      <c r="C47" s="40"/>
      <c r="D47" s="39"/>
      <c r="E47" s="40"/>
      <c r="F47" s="39"/>
      <c r="G47" s="40"/>
      <c r="H47" s="42"/>
    </row>
    <row r="48" spans="1:8" ht="12.75" thickBot="1">
      <c r="A48" s="83" t="s">
        <v>130</v>
      </c>
      <c r="B48" s="35"/>
      <c r="C48" s="36"/>
      <c r="D48" s="46" t="s">
        <v>214</v>
      </c>
      <c r="E48" s="47"/>
      <c r="F48" s="46" t="s">
        <v>215</v>
      </c>
      <c r="G48" s="36"/>
      <c r="H48" s="37"/>
    </row>
    <row r="49" spans="1:8" ht="12">
      <c r="A49" s="59" t="s">
        <v>131</v>
      </c>
      <c r="B49" s="35"/>
      <c r="C49" s="36" t="s">
        <v>195</v>
      </c>
      <c r="D49" s="35">
        <v>1</v>
      </c>
      <c r="E49" s="36" t="s">
        <v>188</v>
      </c>
      <c r="F49" s="35">
        <v>10</v>
      </c>
      <c r="G49" s="36" t="s">
        <v>188</v>
      </c>
      <c r="H49" s="37">
        <f aca="true" t="shared" si="0" ref="H49:H54">F49*D49</f>
        <v>10</v>
      </c>
    </row>
    <row r="50" spans="1:8" ht="12">
      <c r="A50" s="38" t="s">
        <v>223</v>
      </c>
      <c r="B50" s="39"/>
      <c r="C50" s="40" t="s">
        <v>195</v>
      </c>
      <c r="D50" s="39">
        <v>4</v>
      </c>
      <c r="E50" s="40" t="s">
        <v>188</v>
      </c>
      <c r="F50" s="39">
        <v>8</v>
      </c>
      <c r="G50" s="40" t="s">
        <v>188</v>
      </c>
      <c r="H50" s="42">
        <f t="shared" si="0"/>
        <v>32</v>
      </c>
    </row>
    <row r="51" spans="1:8" ht="12">
      <c r="A51" s="38" t="s">
        <v>227</v>
      </c>
      <c r="B51" s="39"/>
      <c r="C51" s="40" t="s">
        <v>195</v>
      </c>
      <c r="D51" s="39">
        <v>1</v>
      </c>
      <c r="E51" s="40" t="s">
        <v>188</v>
      </c>
      <c r="F51" s="39">
        <v>10</v>
      </c>
      <c r="G51" s="40" t="s">
        <v>188</v>
      </c>
      <c r="H51" s="42">
        <f t="shared" si="0"/>
        <v>10</v>
      </c>
    </row>
    <row r="52" spans="1:8" ht="12">
      <c r="A52" s="38" t="s">
        <v>132</v>
      </c>
      <c r="B52" s="39"/>
      <c r="C52" s="40" t="s">
        <v>195</v>
      </c>
      <c r="D52" s="39">
        <v>1</v>
      </c>
      <c r="E52" s="40" t="s">
        <v>188</v>
      </c>
      <c r="F52" s="39">
        <v>0.2</v>
      </c>
      <c r="G52" s="40" t="s">
        <v>188</v>
      </c>
      <c r="H52" s="42">
        <f t="shared" si="0"/>
        <v>0.2</v>
      </c>
    </row>
    <row r="53" spans="1:8" ht="12">
      <c r="A53" s="38" t="s">
        <v>222</v>
      </c>
      <c r="B53" s="39"/>
      <c r="C53" s="40" t="s">
        <v>195</v>
      </c>
      <c r="D53" s="39">
        <v>8</v>
      </c>
      <c r="E53" s="40" t="s">
        <v>188</v>
      </c>
      <c r="F53" s="39">
        <v>0.2</v>
      </c>
      <c r="G53" s="40" t="s">
        <v>188</v>
      </c>
      <c r="H53" s="42">
        <f t="shared" si="0"/>
        <v>1.6</v>
      </c>
    </row>
    <row r="54" spans="1:8" ht="12.75" thickBot="1">
      <c r="A54" s="43" t="s">
        <v>226</v>
      </c>
      <c r="B54" s="44"/>
      <c r="C54" s="45" t="s">
        <v>195</v>
      </c>
      <c r="D54" s="44">
        <v>1</v>
      </c>
      <c r="E54" s="45" t="s">
        <v>188</v>
      </c>
      <c r="F54" s="44">
        <v>1.2</v>
      </c>
      <c r="G54" s="45" t="s">
        <v>188</v>
      </c>
      <c r="H54" s="58">
        <f t="shared" si="0"/>
        <v>1.2</v>
      </c>
    </row>
    <row r="55" spans="1:8" ht="13.5" thickBot="1">
      <c r="A55" s="43"/>
      <c r="B55" s="44"/>
      <c r="C55" s="45"/>
      <c r="D55" s="44"/>
      <c r="E55" s="45"/>
      <c r="F55" s="44"/>
      <c r="G55" s="45"/>
      <c r="H55" s="77">
        <f>SUM(H49:H52)</f>
        <v>52.2</v>
      </c>
    </row>
    <row r="56" spans="1:8" ht="30.75" customHeight="1" thickBot="1">
      <c r="A56" s="43" t="s">
        <v>228</v>
      </c>
      <c r="B56" s="44"/>
      <c r="C56" s="45"/>
      <c r="D56" s="44"/>
      <c r="E56" s="45"/>
      <c r="F56" s="44"/>
      <c r="G56" s="45"/>
      <c r="H56" s="77">
        <f>SUM(H3:H55)/2</f>
        <v>515.0490000000001</v>
      </c>
    </row>
    <row r="57" spans="1:8" ht="12">
      <c r="A57" s="65" t="s">
        <v>229</v>
      </c>
      <c r="H57" s="30">
        <f>550-H56</f>
        <v>34.95099999999991</v>
      </c>
    </row>
    <row r="69" ht="12.75" thickBot="1"/>
    <row r="70" spans="1:7" ht="12">
      <c r="A70" s="99" t="s">
        <v>217</v>
      </c>
      <c r="B70" s="100"/>
      <c r="C70" s="100"/>
      <c r="D70" s="100"/>
      <c r="E70" s="100"/>
      <c r="F70" s="37"/>
      <c r="G70"/>
    </row>
    <row r="71" spans="1:6" s="26" customFormat="1" ht="12">
      <c r="A71" s="38"/>
      <c r="B71" s="41"/>
      <c r="C71" s="41"/>
      <c r="D71" s="41"/>
      <c r="E71" s="39"/>
      <c r="F71" s="63"/>
    </row>
    <row r="72" spans="1:7" ht="12">
      <c r="A72" s="38"/>
      <c r="B72" s="41"/>
      <c r="C72" s="41" t="s">
        <v>162</v>
      </c>
      <c r="D72" s="39" t="s">
        <v>163</v>
      </c>
      <c r="E72" s="64" t="s">
        <v>164</v>
      </c>
      <c r="F72" s="42"/>
      <c r="G72"/>
    </row>
    <row r="73" spans="1:7" ht="12">
      <c r="A73" s="65"/>
      <c r="B73" s="66"/>
      <c r="C73" s="66"/>
      <c r="D73" s="67"/>
      <c r="E73" s="68"/>
      <c r="F73" s="63"/>
      <c r="G73"/>
    </row>
    <row r="74" spans="1:7" ht="12">
      <c r="A74" s="65"/>
      <c r="B74" s="66"/>
      <c r="C74" s="66"/>
      <c r="D74" s="67"/>
      <c r="E74" s="66"/>
      <c r="F74" s="63"/>
      <c r="G74"/>
    </row>
    <row r="75" spans="1:7" ht="12">
      <c r="A75" s="65"/>
      <c r="B75" s="68" t="s">
        <v>166</v>
      </c>
      <c r="C75" s="68" t="s">
        <v>166</v>
      </c>
      <c r="D75" s="68" t="s">
        <v>167</v>
      </c>
      <c r="E75" s="67" t="s">
        <v>168</v>
      </c>
      <c r="F75" s="63"/>
      <c r="G75"/>
    </row>
    <row r="76" spans="1:7" ht="12">
      <c r="A76" s="65" t="s">
        <v>170</v>
      </c>
      <c r="B76" s="66">
        <v>0.85</v>
      </c>
      <c r="C76" s="66">
        <v>3.1</v>
      </c>
      <c r="D76" s="66">
        <f aca="true" t="shared" si="1" ref="D76:D85">B76*C76</f>
        <v>2.635</v>
      </c>
      <c r="E76" s="69">
        <f>'Dati modello'!F153/D76</f>
        <v>1.3965844402277041</v>
      </c>
      <c r="F76" s="63"/>
      <c r="G76"/>
    </row>
    <row r="77" spans="1:7" ht="12">
      <c r="A77" s="65" t="s">
        <v>171</v>
      </c>
      <c r="B77" s="66">
        <v>0.2</v>
      </c>
      <c r="C77" s="66">
        <v>6</v>
      </c>
      <c r="D77" s="66">
        <f t="shared" si="1"/>
        <v>1.2000000000000002</v>
      </c>
      <c r="E77" s="69">
        <f>'Dati modello'!F154/D77</f>
        <v>1.3999999999999997</v>
      </c>
      <c r="F77" s="70"/>
      <c r="G77"/>
    </row>
    <row r="78" spans="1:7" ht="12">
      <c r="A78" s="65" t="s">
        <v>171</v>
      </c>
      <c r="B78" s="66">
        <v>1</v>
      </c>
      <c r="C78" s="66">
        <v>5</v>
      </c>
      <c r="D78" s="66">
        <f t="shared" si="1"/>
        <v>5</v>
      </c>
      <c r="E78" s="67">
        <v>1.4</v>
      </c>
      <c r="F78" s="63"/>
      <c r="G78"/>
    </row>
    <row r="79" spans="1:7" ht="12">
      <c r="A79" s="65" t="s">
        <v>171</v>
      </c>
      <c r="B79" s="66">
        <v>1</v>
      </c>
      <c r="C79" s="66">
        <v>7</v>
      </c>
      <c r="D79" s="66">
        <f t="shared" si="1"/>
        <v>7</v>
      </c>
      <c r="E79" s="67">
        <v>1.4</v>
      </c>
      <c r="F79" s="63"/>
      <c r="G79"/>
    </row>
    <row r="80" spans="1:7" ht="12">
      <c r="A80" s="65" t="s">
        <v>171</v>
      </c>
      <c r="B80" s="66">
        <v>1</v>
      </c>
      <c r="C80" s="66">
        <v>10</v>
      </c>
      <c r="D80" s="66">
        <f t="shared" si="1"/>
        <v>10</v>
      </c>
      <c r="E80" s="67">
        <v>1.4</v>
      </c>
      <c r="F80" s="63"/>
      <c r="G80"/>
    </row>
    <row r="81" spans="1:7" ht="12">
      <c r="A81" s="65" t="s">
        <v>171</v>
      </c>
      <c r="B81" s="66">
        <v>1.5</v>
      </c>
      <c r="C81" s="66">
        <v>5</v>
      </c>
      <c r="D81" s="66">
        <f t="shared" si="1"/>
        <v>7.5</v>
      </c>
      <c r="E81" s="67">
        <v>1.4</v>
      </c>
      <c r="F81" s="63"/>
      <c r="G81"/>
    </row>
    <row r="82" spans="1:7" ht="12">
      <c r="A82" s="65" t="s">
        <v>171</v>
      </c>
      <c r="B82" s="66">
        <v>2.1</v>
      </c>
      <c r="C82" s="66">
        <v>7.1</v>
      </c>
      <c r="D82" s="66">
        <f t="shared" si="1"/>
        <v>14.91</v>
      </c>
      <c r="E82" s="69">
        <f>'Dati modello'!F159/D82</f>
        <v>1.487592219986586</v>
      </c>
      <c r="F82" s="63"/>
      <c r="G82"/>
    </row>
    <row r="83" spans="1:7" ht="12">
      <c r="A83" s="65" t="s">
        <v>171</v>
      </c>
      <c r="B83" s="66">
        <v>1.5</v>
      </c>
      <c r="C83" s="66">
        <v>10</v>
      </c>
      <c r="D83" s="66">
        <f t="shared" si="1"/>
        <v>15</v>
      </c>
      <c r="E83" s="67">
        <v>1.4</v>
      </c>
      <c r="F83" s="63"/>
      <c r="G83"/>
    </row>
    <row r="84" spans="1:7" ht="12">
      <c r="A84" s="65"/>
      <c r="B84" s="66"/>
      <c r="C84" s="66"/>
      <c r="D84" s="66">
        <f t="shared" si="1"/>
        <v>0</v>
      </c>
      <c r="E84" s="66"/>
      <c r="F84" s="63"/>
      <c r="G84"/>
    </row>
    <row r="85" spans="1:7" ht="12">
      <c r="A85" s="65" t="s">
        <v>172</v>
      </c>
      <c r="B85" s="66"/>
      <c r="C85" s="66">
        <v>9.42</v>
      </c>
      <c r="D85" s="66">
        <f t="shared" si="1"/>
        <v>0</v>
      </c>
      <c r="E85" s="67">
        <v>1.4</v>
      </c>
      <c r="F85" s="63"/>
      <c r="G85"/>
    </row>
    <row r="86" spans="1:7" ht="12">
      <c r="A86" s="65" t="s">
        <v>173</v>
      </c>
      <c r="B86" s="66">
        <v>5</v>
      </c>
      <c r="C86" s="66">
        <v>2.5</v>
      </c>
      <c r="D86" s="66">
        <f>((B86/2)*(B86/2)*3.14)-((C86/2)*(C86/2)*3.14)</f>
        <v>14.71875</v>
      </c>
      <c r="E86" s="69">
        <f>'Dati modello'!F163/D86</f>
        <v>1.3520169851380042</v>
      </c>
      <c r="F86" s="63"/>
      <c r="G86"/>
    </row>
    <row r="87" spans="1:7" ht="12">
      <c r="A87" s="65" t="s">
        <v>174</v>
      </c>
      <c r="B87" s="66">
        <v>6</v>
      </c>
      <c r="C87" s="66">
        <v>4</v>
      </c>
      <c r="D87" s="66">
        <f>((B87/2)*(B87/2)*3.14)-((C87/2)*(C87/2)*3.14)</f>
        <v>15.700000000000001</v>
      </c>
      <c r="E87" s="69">
        <f>'Dati modello'!F164/D87</f>
        <v>1.4968152866242037</v>
      </c>
      <c r="F87" s="63"/>
      <c r="G87"/>
    </row>
    <row r="88" spans="1:7" ht="12">
      <c r="A88" s="65" t="s">
        <v>175</v>
      </c>
      <c r="B88" s="66"/>
      <c r="C88" s="66">
        <v>21.98</v>
      </c>
      <c r="D88" s="66">
        <f>B88*C88</f>
        <v>0</v>
      </c>
      <c r="E88" s="67">
        <v>1.4</v>
      </c>
      <c r="F88" s="63"/>
      <c r="G88"/>
    </row>
    <row r="89" spans="1:7" ht="12">
      <c r="A89" s="65" t="s">
        <v>176</v>
      </c>
      <c r="B89" s="71" t="s">
        <v>177</v>
      </c>
      <c r="C89" s="66"/>
      <c r="D89" s="67"/>
      <c r="E89" s="67"/>
      <c r="F89" s="63"/>
      <c r="G89"/>
    </row>
    <row r="90" spans="1:7" ht="12">
      <c r="A90" s="65" t="s">
        <v>176</v>
      </c>
      <c r="B90" s="71" t="s">
        <v>178</v>
      </c>
      <c r="C90" s="66"/>
      <c r="D90" s="67"/>
      <c r="E90" s="67"/>
      <c r="F90" s="63"/>
      <c r="G90"/>
    </row>
    <row r="91" spans="1:7" ht="12">
      <c r="A91" s="65" t="s">
        <v>176</v>
      </c>
      <c r="B91" s="71" t="s">
        <v>179</v>
      </c>
      <c r="C91" s="66"/>
      <c r="D91" s="67"/>
      <c r="E91" s="67"/>
      <c r="F91" s="63"/>
      <c r="G91"/>
    </row>
    <row r="92" spans="1:7" ht="12">
      <c r="A92" s="65" t="s">
        <v>176</v>
      </c>
      <c r="B92" s="71" t="s">
        <v>180</v>
      </c>
      <c r="C92" s="66"/>
      <c r="D92" s="67"/>
      <c r="E92" s="67"/>
      <c r="F92" s="63"/>
      <c r="G92"/>
    </row>
    <row r="93" spans="1:7" ht="12">
      <c r="A93" s="65" t="s">
        <v>181</v>
      </c>
      <c r="B93" s="68">
        <v>0.25</v>
      </c>
      <c r="C93" s="66">
        <v>25</v>
      </c>
      <c r="D93" s="66">
        <f>C93*B93</f>
        <v>6.25</v>
      </c>
      <c r="E93" s="67">
        <v>1.4</v>
      </c>
      <c r="F93" s="63"/>
      <c r="G93"/>
    </row>
    <row r="94" spans="1:7" ht="12">
      <c r="A94" s="65"/>
      <c r="B94" s="66"/>
      <c r="C94" s="66"/>
      <c r="D94" s="66"/>
      <c r="E94" s="67"/>
      <c r="F94" s="63"/>
      <c r="G94"/>
    </row>
    <row r="95" spans="1:7" ht="12">
      <c r="A95" s="65" t="s">
        <v>182</v>
      </c>
      <c r="B95" s="66"/>
      <c r="C95" s="66"/>
      <c r="D95" s="66"/>
      <c r="E95" s="67"/>
      <c r="F95" s="63"/>
      <c r="G95"/>
    </row>
    <row r="96" spans="1:7" ht="12">
      <c r="A96" s="65"/>
      <c r="B96" s="66"/>
      <c r="C96" s="66"/>
      <c r="D96" s="72" t="s">
        <v>183</v>
      </c>
      <c r="E96" s="72" t="s">
        <v>184</v>
      </c>
      <c r="F96" s="63"/>
      <c r="G96"/>
    </row>
    <row r="97" spans="1:7" ht="12">
      <c r="A97" s="38"/>
      <c r="B97" s="68" t="s">
        <v>166</v>
      </c>
      <c r="C97" s="68" t="s">
        <v>185</v>
      </c>
      <c r="D97" s="72">
        <v>7.5</v>
      </c>
      <c r="E97" s="72">
        <v>1.4</v>
      </c>
      <c r="F97" s="63"/>
      <c r="G97"/>
    </row>
    <row r="98" spans="1:7" ht="12">
      <c r="A98" s="38"/>
      <c r="B98" s="66">
        <v>0.8</v>
      </c>
      <c r="C98" s="66">
        <f aca="true" t="shared" si="2" ref="C98:C107">(B98/2)^2*3.14</f>
        <v>0.5024000000000001</v>
      </c>
      <c r="D98" s="66">
        <f aca="true" t="shared" si="3" ref="D98:D107">C98*$D$97</f>
        <v>3.7680000000000007</v>
      </c>
      <c r="E98" s="69">
        <f aca="true" t="shared" si="4" ref="E98:E107">C98*$E$97</f>
        <v>0.7033600000000001</v>
      </c>
      <c r="F98" s="63"/>
      <c r="G98"/>
    </row>
    <row r="99" spans="1:7" ht="12">
      <c r="A99" s="38"/>
      <c r="B99" s="66">
        <v>1</v>
      </c>
      <c r="C99" s="66">
        <f t="shared" si="2"/>
        <v>0.785</v>
      </c>
      <c r="D99" s="66">
        <f t="shared" si="3"/>
        <v>5.8875</v>
      </c>
      <c r="E99" s="69">
        <f t="shared" si="4"/>
        <v>1.099</v>
      </c>
      <c r="F99" s="63"/>
      <c r="G99"/>
    </row>
    <row r="100" spans="1:7" ht="12">
      <c r="A100" s="38"/>
      <c r="B100" s="66">
        <v>1.5</v>
      </c>
      <c r="C100" s="66">
        <f t="shared" si="2"/>
        <v>1.76625</v>
      </c>
      <c r="D100" s="66">
        <f t="shared" si="3"/>
        <v>13.246875000000001</v>
      </c>
      <c r="E100" s="69">
        <f t="shared" si="4"/>
        <v>2.47275</v>
      </c>
      <c r="F100" s="63"/>
      <c r="G100"/>
    </row>
    <row r="101" spans="1:7" ht="12">
      <c r="A101" s="38"/>
      <c r="B101" s="66">
        <v>2</v>
      </c>
      <c r="C101" s="66">
        <f t="shared" si="2"/>
        <v>3.14</v>
      </c>
      <c r="D101" s="66">
        <f t="shared" si="3"/>
        <v>23.55</v>
      </c>
      <c r="E101" s="69">
        <f t="shared" si="4"/>
        <v>4.396</v>
      </c>
      <c r="F101" s="63"/>
      <c r="G101"/>
    </row>
    <row r="102" spans="1:7" ht="12">
      <c r="A102" s="38"/>
      <c r="B102" s="66">
        <v>2.5</v>
      </c>
      <c r="C102" s="66">
        <f t="shared" si="2"/>
        <v>4.90625</v>
      </c>
      <c r="D102" s="66">
        <f t="shared" si="3"/>
        <v>36.796875</v>
      </c>
      <c r="E102" s="69">
        <f t="shared" si="4"/>
        <v>6.8687499999999995</v>
      </c>
      <c r="F102" s="63"/>
      <c r="G102"/>
    </row>
    <row r="103" spans="1:7" ht="12">
      <c r="A103" s="38"/>
      <c r="B103" s="66">
        <v>3</v>
      </c>
      <c r="C103" s="66">
        <f t="shared" si="2"/>
        <v>7.065</v>
      </c>
      <c r="D103" s="66">
        <f t="shared" si="3"/>
        <v>52.987500000000004</v>
      </c>
      <c r="E103" s="69">
        <f t="shared" si="4"/>
        <v>9.891</v>
      </c>
      <c r="F103" s="63"/>
      <c r="G103"/>
    </row>
    <row r="104" spans="1:7" ht="12">
      <c r="A104" s="38"/>
      <c r="B104" s="66">
        <v>3.5</v>
      </c>
      <c r="C104" s="66">
        <f t="shared" si="2"/>
        <v>9.61625</v>
      </c>
      <c r="D104" s="66">
        <f t="shared" si="3"/>
        <v>72.121875</v>
      </c>
      <c r="E104" s="69">
        <f t="shared" si="4"/>
        <v>13.46275</v>
      </c>
      <c r="F104" s="63"/>
      <c r="G104"/>
    </row>
    <row r="105" spans="1:7" ht="12">
      <c r="A105" s="38"/>
      <c r="B105" s="66">
        <v>4</v>
      </c>
      <c r="C105" s="66">
        <f t="shared" si="2"/>
        <v>12.56</v>
      </c>
      <c r="D105" s="66">
        <f t="shared" si="3"/>
        <v>94.2</v>
      </c>
      <c r="E105" s="73">
        <f t="shared" si="4"/>
        <v>17.584</v>
      </c>
      <c r="F105" s="63"/>
      <c r="G105"/>
    </row>
    <row r="106" spans="1:7" ht="12">
      <c r="A106" s="38"/>
      <c r="B106" s="66">
        <v>4.5</v>
      </c>
      <c r="C106" s="66">
        <f t="shared" si="2"/>
        <v>15.89625</v>
      </c>
      <c r="D106" s="66">
        <f t="shared" si="3"/>
        <v>119.221875</v>
      </c>
      <c r="E106" s="69">
        <f t="shared" si="4"/>
        <v>22.254749999999998</v>
      </c>
      <c r="F106" s="63"/>
      <c r="G106"/>
    </row>
    <row r="107" spans="1:7" ht="12.75" thickBot="1">
      <c r="A107" s="43"/>
      <c r="B107" s="74">
        <v>5</v>
      </c>
      <c r="C107" s="74">
        <f t="shared" si="2"/>
        <v>19.625</v>
      </c>
      <c r="D107" s="74">
        <f t="shared" si="3"/>
        <v>147.1875</v>
      </c>
      <c r="E107" s="75">
        <f t="shared" si="4"/>
        <v>27.474999999999998</v>
      </c>
      <c r="F107" s="76"/>
      <c r="G107"/>
    </row>
  </sheetData>
  <mergeCells count="1">
    <mergeCell ref="A70:E70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5"/>
  <sheetViews>
    <sheetView workbookViewId="0" topLeftCell="A1">
      <pane ySplit="15" topLeftCell="BM16" activePane="bottomLeft" state="frozen"/>
      <selection pane="topLeft" activeCell="A1" sqref="A1"/>
      <selection pane="bottomLeft" activeCell="B35" sqref="B35"/>
    </sheetView>
  </sheetViews>
  <sheetFormatPr defaultColWidth="9.140625" defaultRowHeight="12.75"/>
  <cols>
    <col min="1" max="1" width="13.421875" style="0" customWidth="1"/>
    <col min="2" max="2" width="11.421875" style="0" customWidth="1"/>
    <col min="3" max="3" width="14.28125" style="0" customWidth="1"/>
    <col min="4" max="4" width="20.421875" style="0" customWidth="1"/>
    <col min="5" max="5" width="24.8515625" style="0" customWidth="1"/>
    <col min="6" max="6" width="11.7109375" style="0" customWidth="1"/>
  </cols>
  <sheetData>
    <row r="1" spans="1:7" ht="20.25">
      <c r="A1" s="7" t="s">
        <v>78</v>
      </c>
      <c r="B1" s="7"/>
      <c r="C1" s="7"/>
      <c r="D1" s="8"/>
      <c r="E1" s="8"/>
      <c r="F1" s="8"/>
      <c r="G1" s="2"/>
    </row>
    <row r="2" spans="1:7" ht="12.75">
      <c r="A2" s="6" t="s">
        <v>93</v>
      </c>
      <c r="B2" s="6"/>
      <c r="C2" s="5"/>
      <c r="D2" s="5"/>
      <c r="E2" s="2"/>
      <c r="F2" s="2"/>
      <c r="G2" s="2"/>
    </row>
    <row r="3" spans="1:7" ht="12.75">
      <c r="A3" s="12" t="s">
        <v>89</v>
      </c>
      <c r="B3" s="12">
        <f>C21</f>
        <v>-0.2</v>
      </c>
      <c r="C3" s="2"/>
      <c r="D3" s="2"/>
      <c r="E3" s="2"/>
      <c r="F3" s="2"/>
      <c r="G3" s="2"/>
    </row>
    <row r="4" spans="1:7" ht="12.75">
      <c r="A4" s="6" t="s">
        <v>71</v>
      </c>
      <c r="B4" s="6"/>
      <c r="C4" s="14">
        <f>(C21+D174)*100</f>
        <v>32.03112765423873</v>
      </c>
      <c r="D4" s="6" t="s">
        <v>76</v>
      </c>
      <c r="E4" s="5"/>
      <c r="F4" s="2"/>
      <c r="G4" s="2"/>
    </row>
    <row r="5" spans="1:7" ht="15" customHeight="1">
      <c r="A5" s="6" t="s">
        <v>71</v>
      </c>
      <c r="B5" s="6"/>
      <c r="C5" s="14">
        <f>(C25*C4)/100</f>
        <v>4.356233360976467</v>
      </c>
      <c r="D5" s="6" t="s">
        <v>84</v>
      </c>
      <c r="E5" s="5"/>
      <c r="F5" s="10"/>
      <c r="G5" s="2"/>
    </row>
    <row r="6" spans="1:7" ht="14.25" customHeight="1">
      <c r="A6" s="6" t="s">
        <v>71</v>
      </c>
      <c r="B6" s="2"/>
      <c r="C6" s="14">
        <f>C5+B30</f>
        <v>5.556233360976467</v>
      </c>
      <c r="D6" s="6" t="s">
        <v>85</v>
      </c>
      <c r="E6" s="5"/>
      <c r="F6" s="10"/>
      <c r="G6" s="2"/>
    </row>
    <row r="8" spans="1:5" ht="12.75">
      <c r="A8" s="6" t="s">
        <v>94</v>
      </c>
      <c r="E8" t="s">
        <v>92</v>
      </c>
    </row>
    <row r="9" spans="1:10" ht="12.75">
      <c r="A9" s="6" t="s">
        <v>91</v>
      </c>
      <c r="C9" s="13">
        <f>(D174-0.3)*100</f>
        <v>22.03112765423873</v>
      </c>
      <c r="D9" s="6" t="s">
        <v>76</v>
      </c>
      <c r="E9" s="24">
        <f>((C25*C9)/100)+B30</f>
        <v>4.196233360976467</v>
      </c>
      <c r="F9" s="12" t="s">
        <v>85</v>
      </c>
      <c r="H9" s="12"/>
      <c r="I9" s="12"/>
      <c r="J9" s="12"/>
    </row>
    <row r="10" spans="1:10" ht="12.75">
      <c r="A10" s="6" t="s">
        <v>90</v>
      </c>
      <c r="C10" s="13">
        <f>(D174-0.1)*100</f>
        <v>42.03112765423873</v>
      </c>
      <c r="D10" s="6" t="s">
        <v>76</v>
      </c>
      <c r="E10" s="24">
        <f>((C25*C10)/100)+B30</f>
        <v>6.9162333609764675</v>
      </c>
      <c r="F10" s="12" t="s">
        <v>85</v>
      </c>
      <c r="H10" s="12"/>
      <c r="I10" s="12"/>
      <c r="J10" s="12"/>
    </row>
    <row r="11" spans="1:10" ht="12.75">
      <c r="A11" s="6"/>
      <c r="C11" s="13"/>
      <c r="D11" s="6"/>
      <c r="F11" s="12"/>
      <c r="G11" s="12"/>
      <c r="H11" s="12"/>
      <c r="I11" s="12"/>
      <c r="J11" s="12"/>
    </row>
    <row r="12" spans="1:7" ht="12.75">
      <c r="A12" s="6" t="str">
        <f>A96</f>
        <v>CALETTAMENTO NECESSARIO DELLO STABILIZZATORE</v>
      </c>
      <c r="B12" s="6"/>
      <c r="C12" s="6"/>
      <c r="D12" s="6"/>
      <c r="E12" s="6"/>
      <c r="F12" s="2"/>
      <c r="G12" s="2"/>
    </row>
    <row r="13" spans="1:7" ht="12.75">
      <c r="A13" s="6" t="str">
        <f>A97</f>
        <v>Angolo di calettamento dello stabilizzatore</v>
      </c>
      <c r="B13" s="6"/>
      <c r="C13" s="6"/>
      <c r="D13" s="6">
        <f>D97</f>
        <v>0.5464586912579449</v>
      </c>
      <c r="E13" s="6">
        <f>E97</f>
        <v>0</v>
      </c>
      <c r="F13" s="2"/>
      <c r="G13" s="2"/>
    </row>
    <row r="14" spans="1:7" ht="12.75">
      <c r="A14" s="6" t="str">
        <f>A98</f>
        <v>Diedro Longitudinale</v>
      </c>
      <c r="B14" s="6"/>
      <c r="C14" s="6"/>
      <c r="D14" s="6">
        <f>D98</f>
        <v>-0.5464586912579449</v>
      </c>
      <c r="E14" s="6">
        <f>E98</f>
        <v>0</v>
      </c>
      <c r="F14" s="2"/>
      <c r="G14" s="2"/>
    </row>
    <row r="15" ht="12">
      <c r="C15" s="21"/>
    </row>
    <row r="16" ht="12">
      <c r="C16" s="21"/>
    </row>
    <row r="17" spans="1:3" ht="20.25">
      <c r="A17" s="7" t="s">
        <v>97</v>
      </c>
      <c r="C17" t="s">
        <v>98</v>
      </c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3" t="s">
        <v>0</v>
      </c>
      <c r="B19" s="3"/>
      <c r="C19" s="3"/>
      <c r="D19" s="2"/>
      <c r="E19" s="2"/>
      <c r="F19" s="2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spans="1:7" ht="12.75">
      <c r="A21" s="2" t="s">
        <v>1</v>
      </c>
      <c r="B21" s="2"/>
      <c r="C21" s="15">
        <v>-0.2</v>
      </c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3" t="s">
        <v>2</v>
      </c>
      <c r="B23" s="3"/>
      <c r="C23" s="3"/>
      <c r="D23" s="3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 t="s">
        <v>3</v>
      </c>
      <c r="B25" s="2"/>
      <c r="C25" s="16">
        <v>13.6</v>
      </c>
      <c r="D25" s="4" t="s">
        <v>77</v>
      </c>
      <c r="E25" s="2"/>
      <c r="F25" s="2"/>
      <c r="G25" s="2"/>
    </row>
    <row r="26" spans="1:7" ht="12.75">
      <c r="A26" s="2" t="s">
        <v>4</v>
      </c>
      <c r="B26" s="2"/>
      <c r="C26" s="15">
        <v>7.1</v>
      </c>
      <c r="D26" s="4" t="s">
        <v>77</v>
      </c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8" ht="12.75">
      <c r="A28" s="3" t="s">
        <v>5</v>
      </c>
      <c r="B28" s="3"/>
      <c r="C28" s="3"/>
      <c r="D28" s="3"/>
      <c r="E28" s="3"/>
      <c r="F28" s="3"/>
      <c r="G28" s="3"/>
      <c r="H28" s="1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 t="s">
        <v>6</v>
      </c>
      <c r="B30" s="15">
        <v>1.2</v>
      </c>
      <c r="C30" s="4" t="s">
        <v>77</v>
      </c>
      <c r="D30" s="2"/>
      <c r="E30" s="2"/>
      <c r="F30" s="2"/>
      <c r="G30" s="2"/>
    </row>
    <row r="31" spans="1:7" ht="12.75">
      <c r="A31" s="2" t="s">
        <v>7</v>
      </c>
      <c r="B31" s="15">
        <v>0.45</v>
      </c>
      <c r="C31" s="4" t="s">
        <v>77</v>
      </c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3" t="s">
        <v>8</v>
      </c>
      <c r="B33" s="3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 t="s">
        <v>16</v>
      </c>
      <c r="B35" s="2"/>
      <c r="C35" s="15">
        <v>170</v>
      </c>
      <c r="D35" s="4" t="s">
        <v>77</v>
      </c>
      <c r="E35" s="2"/>
      <c r="F35" s="2"/>
      <c r="G35" s="2"/>
    </row>
    <row r="36" spans="1:9" ht="12.75">
      <c r="A36" s="2" t="s">
        <v>9</v>
      </c>
      <c r="B36" s="2"/>
      <c r="C36" s="15">
        <v>2292</v>
      </c>
      <c r="D36" s="4" t="s">
        <v>79</v>
      </c>
      <c r="E36" s="25"/>
      <c r="F36" s="25"/>
      <c r="G36" s="25"/>
      <c r="H36" s="26"/>
      <c r="I36" s="26"/>
    </row>
    <row r="37" spans="1:9" ht="12.75">
      <c r="A37" s="2" t="s">
        <v>12</v>
      </c>
      <c r="B37" s="2"/>
      <c r="C37" s="15">
        <v>229</v>
      </c>
      <c r="D37" s="4" t="s">
        <v>79</v>
      </c>
      <c r="E37" s="25"/>
      <c r="F37" s="25"/>
      <c r="G37" s="25"/>
      <c r="H37" s="26"/>
      <c r="I37" s="26"/>
    </row>
    <row r="38" spans="1:9" ht="12.75">
      <c r="A38" s="2" t="s">
        <v>13</v>
      </c>
      <c r="B38" s="2"/>
      <c r="C38" s="15">
        <v>80</v>
      </c>
      <c r="D38" s="4" t="s">
        <v>79</v>
      </c>
      <c r="E38" s="25"/>
      <c r="F38" s="25"/>
      <c r="G38" s="25"/>
      <c r="H38" s="26"/>
      <c r="I38" s="26"/>
    </row>
    <row r="39" spans="1:9" ht="12.75">
      <c r="A39" s="2" t="s">
        <v>10</v>
      </c>
      <c r="B39" s="2"/>
      <c r="C39" s="15">
        <v>70</v>
      </c>
      <c r="D39" s="4" t="s">
        <v>77</v>
      </c>
      <c r="E39" s="25"/>
      <c r="F39" s="25"/>
      <c r="G39" s="25"/>
      <c r="H39" s="26"/>
      <c r="I39" s="26"/>
    </row>
    <row r="40" spans="1:9" ht="12.75">
      <c r="A40" s="2" t="s">
        <v>11</v>
      </c>
      <c r="B40" s="2"/>
      <c r="C40" s="15">
        <v>70</v>
      </c>
      <c r="D40" s="4" t="s">
        <v>77</v>
      </c>
      <c r="E40" s="25"/>
      <c r="F40" s="25"/>
      <c r="G40" s="25"/>
      <c r="H40" s="26"/>
      <c r="I40" s="26"/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5" t="s">
        <v>14</v>
      </c>
      <c r="B42" s="5">
        <f>(C37*C39)/(C36*C25)</f>
        <v>0.514256749820347</v>
      </c>
      <c r="C42" s="2"/>
      <c r="D42" s="2"/>
      <c r="E42" s="2"/>
      <c r="F42" s="2"/>
      <c r="G42" s="2"/>
    </row>
    <row r="43" spans="1:7" ht="12.75">
      <c r="A43" s="5" t="s">
        <v>15</v>
      </c>
      <c r="B43" s="5">
        <f>(C38*C40)/(C36*C35)</f>
        <v>0.014372241043014064</v>
      </c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3" t="s">
        <v>17</v>
      </c>
      <c r="B45" s="3"/>
      <c r="C45" s="3"/>
      <c r="D45" s="3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 t="s">
        <v>18</v>
      </c>
      <c r="B47" s="2"/>
      <c r="C47" s="2"/>
      <c r="D47" s="2"/>
      <c r="E47" s="2"/>
      <c r="F47" s="2"/>
      <c r="G47" s="2"/>
    </row>
    <row r="48" spans="1:10" ht="12.75">
      <c r="A48" s="2" t="s">
        <v>20</v>
      </c>
      <c r="B48" s="19">
        <v>-3.5</v>
      </c>
      <c r="C48" s="9" t="s">
        <v>19</v>
      </c>
      <c r="D48" s="17">
        <v>-0.167</v>
      </c>
      <c r="E48" s="25"/>
      <c r="F48" s="25"/>
      <c r="G48" s="25"/>
      <c r="H48" s="26"/>
      <c r="I48" s="26"/>
      <c r="J48" s="26"/>
    </row>
    <row r="49" spans="1:10" ht="12.75">
      <c r="A49" s="2" t="s">
        <v>21</v>
      </c>
      <c r="B49" s="19">
        <v>1</v>
      </c>
      <c r="C49" s="9" t="s">
        <v>19</v>
      </c>
      <c r="D49" s="17">
        <v>0.4101</v>
      </c>
      <c r="E49" s="25"/>
      <c r="F49" s="25"/>
      <c r="G49" s="25"/>
      <c r="H49" s="26"/>
      <c r="I49" s="26"/>
      <c r="J49" s="26"/>
    </row>
    <row r="50" spans="1:10" ht="12.75">
      <c r="A50" s="2"/>
      <c r="B50" s="9"/>
      <c r="C50" s="9"/>
      <c r="D50" s="18"/>
      <c r="E50" s="25"/>
      <c r="F50" s="25"/>
      <c r="G50" s="25"/>
      <c r="H50" s="26"/>
      <c r="I50" s="26"/>
      <c r="J50" s="26"/>
    </row>
    <row r="51" spans="1:10" ht="12.75">
      <c r="A51" s="2" t="s">
        <v>22</v>
      </c>
      <c r="B51" s="9"/>
      <c r="C51" s="9"/>
      <c r="D51" s="18"/>
      <c r="E51" s="25"/>
      <c r="F51" s="25"/>
      <c r="G51" s="25"/>
      <c r="H51" s="26"/>
      <c r="I51" s="26"/>
      <c r="J51" s="26"/>
    </row>
    <row r="52" spans="1:10" ht="12.75">
      <c r="A52" s="2" t="s">
        <v>20</v>
      </c>
      <c r="B52" s="19">
        <v>5</v>
      </c>
      <c r="C52" s="9" t="s">
        <v>19</v>
      </c>
      <c r="D52" s="17">
        <v>0.5383</v>
      </c>
      <c r="E52" s="25"/>
      <c r="F52" s="25"/>
      <c r="G52" s="25"/>
      <c r="H52" s="26"/>
      <c r="I52" s="26"/>
      <c r="J52" s="26"/>
    </row>
    <row r="53" spans="1:10" ht="12.75">
      <c r="A53" s="2" t="s">
        <v>23</v>
      </c>
      <c r="B53" s="19">
        <v>0</v>
      </c>
      <c r="C53" s="9" t="s">
        <v>19</v>
      </c>
      <c r="D53" s="17">
        <v>0</v>
      </c>
      <c r="E53" s="25"/>
      <c r="F53" s="25"/>
      <c r="G53" s="25"/>
      <c r="H53" s="26"/>
      <c r="I53" s="26"/>
      <c r="J53" s="26"/>
    </row>
    <row r="54" spans="1:10" ht="12.75">
      <c r="A54" s="2"/>
      <c r="B54" s="2"/>
      <c r="C54" s="2"/>
      <c r="D54" s="2"/>
      <c r="E54" s="25"/>
      <c r="F54" s="25"/>
      <c r="G54" s="25"/>
      <c r="H54" s="26"/>
      <c r="I54" s="26"/>
      <c r="J54" s="26"/>
    </row>
    <row r="55" spans="1:10" ht="12.75">
      <c r="A55" s="5" t="s">
        <v>73</v>
      </c>
      <c r="B55" s="5"/>
      <c r="C55" s="11">
        <f>(D48-D49)/((B48-2)*(3.14/180))</f>
        <v>6.014939200926462</v>
      </c>
      <c r="D55" s="2"/>
      <c r="E55" s="25"/>
      <c r="F55" s="25"/>
      <c r="G55" s="25"/>
      <c r="H55" s="26"/>
      <c r="I55" s="26"/>
      <c r="J55" s="26"/>
    </row>
    <row r="56" spans="1:10" ht="12.75">
      <c r="A56" s="5" t="s">
        <v>74</v>
      </c>
      <c r="B56" s="5"/>
      <c r="C56" s="11">
        <f>(D52-D53)/((B52-B53)*(3.14/180))</f>
        <v>6.171592356687897</v>
      </c>
      <c r="D56" s="2"/>
      <c r="E56" s="25"/>
      <c r="F56" s="25"/>
      <c r="G56" s="25"/>
      <c r="H56" s="26"/>
      <c r="I56" s="26"/>
      <c r="J56" s="26"/>
    </row>
    <row r="57" spans="1:10" ht="12.75">
      <c r="A57" s="2"/>
      <c r="B57" s="2"/>
      <c r="C57" s="2"/>
      <c r="D57" s="2"/>
      <c r="E57" s="25"/>
      <c r="F57" s="25"/>
      <c r="G57" s="25"/>
      <c r="H57" s="26"/>
      <c r="I57" s="26"/>
      <c r="J57" s="26"/>
    </row>
    <row r="58" spans="1:10" ht="12.75">
      <c r="A58" s="3" t="s">
        <v>72</v>
      </c>
      <c r="B58" s="3"/>
      <c r="C58" s="3"/>
      <c r="D58" s="2"/>
      <c r="E58" s="25"/>
      <c r="F58" s="25"/>
      <c r="G58" s="25"/>
      <c r="H58" s="26"/>
      <c r="I58" s="26"/>
      <c r="J58" s="26"/>
    </row>
    <row r="59" spans="1:10" ht="12.75">
      <c r="A59" s="2"/>
      <c r="B59" s="2"/>
      <c r="C59" s="2"/>
      <c r="D59" s="2"/>
      <c r="E59" s="25"/>
      <c r="F59" s="25"/>
      <c r="G59" s="25"/>
      <c r="H59" s="26"/>
      <c r="I59" s="26"/>
      <c r="J59" s="26"/>
    </row>
    <row r="60" spans="1:10" ht="12.75">
      <c r="A60" s="2" t="s">
        <v>24</v>
      </c>
      <c r="B60" s="15">
        <v>0</v>
      </c>
      <c r="C60" s="2"/>
      <c r="D60" s="2"/>
      <c r="E60" s="25"/>
      <c r="F60" s="25"/>
      <c r="G60" s="25"/>
      <c r="H60" s="26"/>
      <c r="I60" s="26"/>
      <c r="J60" s="26"/>
    </row>
    <row r="61" spans="1:10" ht="12.75">
      <c r="A61" s="2" t="s">
        <v>28</v>
      </c>
      <c r="B61" s="2"/>
      <c r="C61" s="15">
        <v>13.35</v>
      </c>
      <c r="D61" s="2"/>
      <c r="E61" s="25"/>
      <c r="F61" s="25"/>
      <c r="G61" s="25"/>
      <c r="H61" s="26"/>
      <c r="I61" s="26"/>
      <c r="J61" s="26"/>
    </row>
    <row r="62" spans="1:10" ht="12.75">
      <c r="A62" s="2" t="s">
        <v>29</v>
      </c>
      <c r="B62" s="2"/>
      <c r="C62" s="22">
        <f>40/7.1</f>
        <v>5.633802816901409</v>
      </c>
      <c r="D62" s="2"/>
      <c r="E62" s="25"/>
      <c r="F62" s="25"/>
      <c r="G62" s="25"/>
      <c r="H62" s="26"/>
      <c r="I62" s="26"/>
      <c r="J62" s="26"/>
    </row>
    <row r="63" spans="1:10" ht="12.75">
      <c r="A63" s="2" t="s">
        <v>30</v>
      </c>
      <c r="B63" s="2"/>
      <c r="C63" s="15">
        <v>1.16</v>
      </c>
      <c r="D63" s="27"/>
      <c r="E63" s="25"/>
      <c r="F63" s="25"/>
      <c r="G63" s="25"/>
      <c r="H63" s="26"/>
      <c r="I63" s="26"/>
      <c r="J63" s="26"/>
    </row>
    <row r="64" spans="1:10" ht="12.75">
      <c r="A64" s="2" t="s">
        <v>31</v>
      </c>
      <c r="B64" s="2"/>
      <c r="C64" s="15">
        <v>3.49</v>
      </c>
      <c r="D64" s="27"/>
      <c r="E64" s="25"/>
      <c r="F64" s="25"/>
      <c r="G64" s="25"/>
      <c r="H64" s="26"/>
      <c r="I64" s="26"/>
      <c r="J64" s="26"/>
    </row>
    <row r="65" spans="1:10" ht="12.75">
      <c r="A65" s="2"/>
      <c r="B65" s="2"/>
      <c r="C65" s="2"/>
      <c r="D65" s="2"/>
      <c r="E65" s="25"/>
      <c r="F65" s="25"/>
      <c r="G65" s="25"/>
      <c r="H65" s="26"/>
      <c r="I65" s="26"/>
      <c r="J65" s="26"/>
    </row>
    <row r="66" spans="1:7" ht="12.75">
      <c r="A66" s="5" t="s">
        <v>73</v>
      </c>
      <c r="B66" s="5"/>
      <c r="C66" s="11">
        <f>C55/(SQRT(1+$B$60^2))</f>
        <v>6.014939200926462</v>
      </c>
      <c r="D66" s="2"/>
      <c r="E66" s="2"/>
      <c r="F66" s="2"/>
      <c r="G66" s="2"/>
    </row>
    <row r="67" spans="1:7" ht="12.75">
      <c r="A67" s="5" t="s">
        <v>75</v>
      </c>
      <c r="B67" s="5"/>
      <c r="C67" s="11">
        <f>C56/(SQRT(1+$B$60^2))</f>
        <v>6.171592356687897</v>
      </c>
      <c r="D67" s="2"/>
      <c r="E67" s="2"/>
      <c r="F67" s="2"/>
      <c r="G67" s="2"/>
    </row>
    <row r="68" spans="1:7" ht="12.75">
      <c r="A68" s="5"/>
      <c r="B68" s="5"/>
      <c r="C68" s="5"/>
      <c r="D68" s="2"/>
      <c r="E68" s="2"/>
      <c r="F68" s="2"/>
      <c r="G68" s="2"/>
    </row>
    <row r="69" spans="1:7" ht="12.75">
      <c r="A69" s="5" t="s">
        <v>25</v>
      </c>
      <c r="B69" s="5"/>
      <c r="C69" s="5">
        <f>C66/6.28</f>
        <v>0.957792866389564</v>
      </c>
      <c r="D69" s="2"/>
      <c r="E69" s="2"/>
      <c r="F69" s="2"/>
      <c r="G69" s="2"/>
    </row>
    <row r="70" spans="1:7" ht="12.75">
      <c r="A70" s="5" t="s">
        <v>26</v>
      </c>
      <c r="B70" s="5"/>
      <c r="C70" s="5">
        <f>C67/6.28</f>
        <v>0.9827376364152702</v>
      </c>
      <c r="D70" s="2"/>
      <c r="E70" s="2"/>
      <c r="F70" s="2"/>
      <c r="G70" s="2"/>
    </row>
    <row r="71" spans="1:7" ht="12.75">
      <c r="A71" s="5"/>
      <c r="B71" s="5"/>
      <c r="C71" s="5"/>
      <c r="D71" s="2"/>
      <c r="E71" s="2"/>
      <c r="F71" s="2"/>
      <c r="G71" s="2"/>
    </row>
    <row r="72" spans="1:7" ht="12.75">
      <c r="A72" s="5" t="s">
        <v>27</v>
      </c>
      <c r="B72" s="5"/>
      <c r="C72" s="5">
        <f>SQRT(1-B60^2)</f>
        <v>1</v>
      </c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3" t="s">
        <v>46</v>
      </c>
      <c r="B74" s="3"/>
      <c r="C74" s="2"/>
      <c r="D74" s="2"/>
      <c r="E74" s="2"/>
      <c r="F74" s="2"/>
      <c r="G74" s="2"/>
    </row>
    <row r="75" spans="1:7" ht="12.75">
      <c r="A75" s="3"/>
      <c r="B75" s="3"/>
      <c r="C75" s="2"/>
      <c r="D75" s="2"/>
      <c r="E75" s="2"/>
      <c r="F75" s="2"/>
      <c r="G75" s="2"/>
    </row>
    <row r="76" spans="1:7" ht="12.75">
      <c r="A76" s="5" t="s">
        <v>33</v>
      </c>
      <c r="B76" s="5">
        <f>(6.28*C61)/((2+SQRT((((C61^2)*($C$72^2))/(C69^2))*(1+((TAN(C63*3.14/180))^2))+4)))</f>
        <v>5.212548457009984</v>
      </c>
      <c r="C76" s="2"/>
      <c r="D76" s="2"/>
      <c r="E76" s="2"/>
      <c r="F76" s="2"/>
      <c r="G76" s="2"/>
    </row>
    <row r="77" spans="1:7" ht="12.75">
      <c r="A77" s="5" t="s">
        <v>34</v>
      </c>
      <c r="B77" s="5">
        <f>(6.28*C62)/((2+SQRT((((C62^2)*($C$72^2))/(C70^2))*(1+((TAN(C64*3.14/180))^2))+4)))</f>
        <v>4.377843524837832</v>
      </c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3" t="s">
        <v>35</v>
      </c>
      <c r="B79" s="3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 t="s">
        <v>37</v>
      </c>
      <c r="B81" s="2"/>
      <c r="C81" s="2"/>
      <c r="D81" s="15">
        <v>0.59</v>
      </c>
      <c r="E81" s="27"/>
      <c r="F81" s="25"/>
      <c r="G81" s="2"/>
    </row>
    <row r="82" spans="1:7" ht="12.75">
      <c r="A82" s="2" t="s">
        <v>40</v>
      </c>
      <c r="B82" s="2"/>
      <c r="C82" s="2"/>
      <c r="D82" s="15">
        <v>3.1</v>
      </c>
      <c r="E82" s="27"/>
      <c r="F82" s="27"/>
      <c r="G82" s="2"/>
    </row>
    <row r="83" spans="1:7" ht="12.75">
      <c r="A83" s="2" t="s">
        <v>42</v>
      </c>
      <c r="B83" s="2"/>
      <c r="C83" s="2"/>
      <c r="D83" s="15">
        <v>1.3</v>
      </c>
      <c r="E83" s="28"/>
      <c r="F83" s="25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5" t="s">
        <v>36</v>
      </c>
      <c r="B85" s="5">
        <f>(1/C61)-(1/(1-(C61^1.7)))</f>
        <v>0.08726631963725315</v>
      </c>
      <c r="C85" s="2"/>
      <c r="D85" s="2"/>
      <c r="E85" s="2"/>
      <c r="F85" s="2"/>
      <c r="G85" s="2"/>
    </row>
    <row r="86" spans="1:7" ht="12.75">
      <c r="A86" s="5" t="s">
        <v>38</v>
      </c>
      <c r="B86" s="5">
        <f>(10-3*D81)/7</f>
        <v>1.1757142857142857</v>
      </c>
      <c r="C86" s="2"/>
      <c r="D86" s="2"/>
      <c r="E86" s="2"/>
      <c r="F86" s="2"/>
      <c r="G86" s="2"/>
    </row>
    <row r="87" spans="1:7" ht="12.75">
      <c r="A87" s="5" t="s">
        <v>39</v>
      </c>
      <c r="B87" s="5">
        <f>(1-D82/C35)/((2*C39/C35)^(1/3))</f>
        <v>1.0474043595335891</v>
      </c>
      <c r="C87" s="2"/>
      <c r="D87" s="2"/>
      <c r="E87" s="2"/>
      <c r="F87" s="2"/>
      <c r="G87" s="2"/>
    </row>
    <row r="88" spans="1:7" ht="12.75">
      <c r="A88" s="5"/>
      <c r="B88" s="5"/>
      <c r="C88" s="2"/>
      <c r="D88" s="2"/>
      <c r="E88" s="2"/>
      <c r="F88" s="2"/>
      <c r="G88" s="2"/>
    </row>
    <row r="89" spans="1:7" ht="12.75">
      <c r="A89" s="5" t="s">
        <v>41</v>
      </c>
      <c r="B89" s="5">
        <f>4.44*((B85*B86*B87*SQRT(COS(D83*3.14/180)))^1.19)*(C66/C55)</f>
        <v>0.3122621092902542</v>
      </c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3" t="s">
        <v>43</v>
      </c>
      <c r="B91" s="3"/>
      <c r="C91" s="3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 t="s">
        <v>44</v>
      </c>
      <c r="B93" s="2"/>
      <c r="C93" s="2"/>
      <c r="D93" s="15">
        <v>0</v>
      </c>
      <c r="E93" s="28"/>
      <c r="F93" s="25"/>
      <c r="G93" s="25"/>
    </row>
    <row r="94" spans="1:7" ht="12.75">
      <c r="A94" s="2" t="s">
        <v>45</v>
      </c>
      <c r="B94" s="2"/>
      <c r="C94" s="2"/>
      <c r="D94" s="23">
        <v>-1.75</v>
      </c>
      <c r="E94" s="28"/>
      <c r="F94" s="25"/>
      <c r="G94" s="25"/>
    </row>
    <row r="95" spans="1:7" ht="12.75">
      <c r="A95" s="2"/>
      <c r="B95" s="2"/>
      <c r="C95" s="2"/>
      <c r="D95" s="2"/>
      <c r="E95" s="25"/>
      <c r="F95" s="25"/>
      <c r="G95" s="25"/>
    </row>
    <row r="96" spans="1:7" ht="12.75">
      <c r="A96" s="6" t="s">
        <v>95</v>
      </c>
      <c r="B96" s="2"/>
      <c r="C96" s="2"/>
      <c r="D96" s="2"/>
      <c r="E96" s="28"/>
      <c r="F96" s="25"/>
      <c r="G96" s="25"/>
    </row>
    <row r="97" spans="1:7" ht="12.75">
      <c r="A97" s="6" t="s">
        <v>47</v>
      </c>
      <c r="B97" s="6"/>
      <c r="C97" s="6"/>
      <c r="D97" s="6">
        <f>(D93-D94)*B89</f>
        <v>0.5464586912579449</v>
      </c>
      <c r="E97" s="29"/>
      <c r="F97" s="25"/>
      <c r="G97" s="25"/>
    </row>
    <row r="98" spans="1:7" ht="12.75">
      <c r="A98" s="6" t="s">
        <v>96</v>
      </c>
      <c r="B98" s="6"/>
      <c r="C98" s="6"/>
      <c r="D98" s="6">
        <f>D93-D97</f>
        <v>-0.5464586912579449</v>
      </c>
      <c r="E98" s="29"/>
      <c r="F98" s="25"/>
      <c r="G98" s="25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3" t="s">
        <v>48</v>
      </c>
      <c r="B100" s="3"/>
      <c r="C100" s="3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 t="s">
        <v>49</v>
      </c>
      <c r="B102" s="2"/>
      <c r="C102" s="15">
        <v>99</v>
      </c>
      <c r="D102" s="4" t="s">
        <v>77</v>
      </c>
      <c r="E102" s="2"/>
      <c r="F102" s="2"/>
      <c r="G102" s="2"/>
    </row>
    <row r="103" spans="1:7" ht="12.75">
      <c r="A103" s="2" t="s">
        <v>52</v>
      </c>
      <c r="B103" s="2"/>
      <c r="C103" s="2"/>
      <c r="D103" s="15">
        <v>17.8</v>
      </c>
      <c r="E103" s="4" t="s">
        <v>77</v>
      </c>
      <c r="F103" s="2"/>
      <c r="G103" s="2"/>
    </row>
    <row r="104" spans="1:7" ht="12.75">
      <c r="A104" s="2" t="s">
        <v>53</v>
      </c>
      <c r="B104" s="2"/>
      <c r="C104" s="15">
        <v>17</v>
      </c>
      <c r="D104" s="4" t="s">
        <v>77</v>
      </c>
      <c r="E104" s="2"/>
      <c r="F104" s="2"/>
      <c r="G104" s="2"/>
    </row>
    <row r="105" spans="1:7" ht="12.75">
      <c r="A105" s="2" t="s">
        <v>54</v>
      </c>
      <c r="B105" s="2"/>
      <c r="C105" s="2"/>
      <c r="D105" s="2"/>
      <c r="E105" s="15">
        <v>57.2</v>
      </c>
      <c r="F105" s="4" t="s">
        <v>77</v>
      </c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 t="s">
        <v>50</v>
      </c>
      <c r="B107" s="2"/>
      <c r="C107" s="2"/>
      <c r="D107" s="2"/>
      <c r="E107" s="2"/>
      <c r="F107" s="2"/>
      <c r="G107" s="2"/>
    </row>
    <row r="108" spans="1:7" ht="12.75">
      <c r="A108" s="2" t="s">
        <v>51</v>
      </c>
      <c r="B108" s="2" t="s">
        <v>82</v>
      </c>
      <c r="C108" s="2" t="s">
        <v>81</v>
      </c>
      <c r="D108" s="2" t="s">
        <v>80</v>
      </c>
      <c r="E108" s="2" t="s">
        <v>86</v>
      </c>
      <c r="G108" s="2"/>
    </row>
    <row r="109" spans="1:7" ht="12.75">
      <c r="A109" s="2">
        <v>0</v>
      </c>
      <c r="B109" s="2">
        <v>0</v>
      </c>
      <c r="C109" s="20">
        <v>0</v>
      </c>
      <c r="D109" s="2">
        <f>D103</f>
        <v>17.8</v>
      </c>
      <c r="E109" s="9" t="s">
        <v>87</v>
      </c>
      <c r="G109" s="2"/>
    </row>
    <row r="110" spans="1:7" ht="12.75">
      <c r="A110" s="2">
        <v>1</v>
      </c>
      <c r="B110" s="11">
        <f>($D$103/5)*A110</f>
        <v>3.56</v>
      </c>
      <c r="C110" s="15">
        <v>3.3</v>
      </c>
      <c r="D110" s="11">
        <f>$D$103-B110</f>
        <v>14.24</v>
      </c>
      <c r="E110" s="2">
        <f aca="true" t="shared" si="0" ref="E110:E116">IF(C110&gt;C109,D110+((B144/3)*((C110+2*C109)/(C110+C109))),D110+B144-(B144/3)*((C109+2*C110)/(C109+C110)))</f>
        <v>15.426666666666668</v>
      </c>
      <c r="G110" s="2"/>
    </row>
    <row r="111" spans="1:7" ht="12.75">
      <c r="A111" s="2">
        <v>2</v>
      </c>
      <c r="B111" s="11">
        <f>($D$103/5)*A111</f>
        <v>7.12</v>
      </c>
      <c r="C111" s="15">
        <v>3.6</v>
      </c>
      <c r="D111" s="11">
        <f>$D$103-B111</f>
        <v>10.68</v>
      </c>
      <c r="E111" s="2">
        <f t="shared" si="0"/>
        <v>12.434202898550724</v>
      </c>
      <c r="G111" s="2"/>
    </row>
    <row r="112" spans="1:7" ht="12.75">
      <c r="A112" s="2">
        <v>3</v>
      </c>
      <c r="B112" s="11">
        <f>($D$103/5)*A112</f>
        <v>10.68</v>
      </c>
      <c r="C112" s="15">
        <v>3.8</v>
      </c>
      <c r="D112" s="11">
        <f>$D$103-B112</f>
        <v>7.120000000000001</v>
      </c>
      <c r="E112" s="2">
        <f t="shared" si="0"/>
        <v>8.883963963963964</v>
      </c>
      <c r="G112" s="2"/>
    </row>
    <row r="113" spans="1:7" ht="12.75">
      <c r="A113" s="2">
        <v>4</v>
      </c>
      <c r="B113" s="11">
        <f>($D$103/5)*A113</f>
        <v>14.24</v>
      </c>
      <c r="C113" s="15">
        <v>3.8</v>
      </c>
      <c r="D113" s="11">
        <f>$D$103-B113</f>
        <v>3.5600000000000005</v>
      </c>
      <c r="E113" s="2">
        <f t="shared" si="0"/>
        <v>5.340000000000002</v>
      </c>
      <c r="G113" s="2"/>
    </row>
    <row r="114" spans="1:7" ht="12.75">
      <c r="A114" s="2">
        <v>5</v>
      </c>
      <c r="B114" s="11">
        <f>($D$103/5)*A114</f>
        <v>17.8</v>
      </c>
      <c r="C114" s="15">
        <v>3.8</v>
      </c>
      <c r="D114" s="11">
        <f>$D$103-B114</f>
        <v>0</v>
      </c>
      <c r="E114" s="2">
        <f t="shared" si="0"/>
        <v>1.7800000000000002</v>
      </c>
      <c r="G114" s="2"/>
    </row>
    <row r="115" spans="1:7" ht="12.75">
      <c r="A115" s="2">
        <v>6</v>
      </c>
      <c r="B115" s="11">
        <f>($C$104/2)+B114</f>
        <v>26.3</v>
      </c>
      <c r="C115" s="15">
        <v>3.8</v>
      </c>
      <c r="D115" s="11">
        <f>($D$103+$C$104)-B115</f>
        <v>8.499999999999996</v>
      </c>
      <c r="E115" s="2">
        <f t="shared" si="0"/>
        <v>12.749999999999996</v>
      </c>
      <c r="G115" s="2"/>
    </row>
    <row r="116" spans="1:9" ht="12.75">
      <c r="A116" s="2">
        <v>7</v>
      </c>
      <c r="B116" s="11">
        <f>($C$104/2)+B115-0.1</f>
        <v>34.699999999999996</v>
      </c>
      <c r="C116" s="15">
        <v>3.7</v>
      </c>
      <c r="D116" s="11">
        <v>0</v>
      </c>
      <c r="E116" s="2">
        <f t="shared" si="0"/>
        <v>4.268888888888889</v>
      </c>
      <c r="G116" s="2"/>
      <c r="I116" s="4"/>
    </row>
    <row r="117" spans="1:9" ht="12.75">
      <c r="A117" s="2">
        <v>8</v>
      </c>
      <c r="B117" s="11">
        <f aca="true" t="shared" si="1" ref="B117:B122">(($C$102-$D$103-$C$104)/7)+B116</f>
        <v>43.87142857142857</v>
      </c>
      <c r="C117" s="15">
        <v>1.4</v>
      </c>
      <c r="D117" s="11">
        <f aca="true" t="shared" si="2" ref="D117:D122">B151*A110</f>
        <v>9.171428571428573</v>
      </c>
      <c r="E117" s="2">
        <f aca="true" t="shared" si="3" ref="E117:E122">IF(C117&gt;C116,D116+B151-(B151/3)*((C117+2*C116)/(C116+C117)),D116+((B151/3)*((C116+2*C117)/(C117+C116))))</f>
        <v>3.8963585434173678</v>
      </c>
      <c r="G117" s="2"/>
      <c r="I117" s="4"/>
    </row>
    <row r="118" spans="1:9" ht="12.75">
      <c r="A118" s="2">
        <v>9</v>
      </c>
      <c r="B118" s="11">
        <f t="shared" si="1"/>
        <v>53.04285714285714</v>
      </c>
      <c r="C118" s="15">
        <v>1.3</v>
      </c>
      <c r="D118" s="11">
        <f t="shared" si="2"/>
        <v>18.342857142857145</v>
      </c>
      <c r="E118" s="2">
        <f t="shared" si="3"/>
        <v>13.700529100529103</v>
      </c>
      <c r="G118" s="2"/>
      <c r="I118" s="4"/>
    </row>
    <row r="119" spans="1:9" ht="12.75">
      <c r="A119" s="2">
        <v>10</v>
      </c>
      <c r="B119" s="11">
        <f t="shared" si="1"/>
        <v>62.21428571428571</v>
      </c>
      <c r="C119" s="15">
        <v>1.2</v>
      </c>
      <c r="D119" s="11">
        <f t="shared" si="2"/>
        <v>27.51428571428572</v>
      </c>
      <c r="E119" s="2">
        <f t="shared" si="3"/>
        <v>22.867428571428576</v>
      </c>
      <c r="G119" s="2"/>
      <c r="I119" s="4"/>
    </row>
    <row r="120" spans="1:9" ht="12.75">
      <c r="A120" s="2">
        <v>11</v>
      </c>
      <c r="B120" s="11">
        <f t="shared" si="1"/>
        <v>71.38571428571429</v>
      </c>
      <c r="C120" s="15">
        <v>1.1</v>
      </c>
      <c r="D120" s="11">
        <f t="shared" si="2"/>
        <v>36.68571428571429</v>
      </c>
      <c r="E120" s="2">
        <f t="shared" si="3"/>
        <v>32.033540372670814</v>
      </c>
      <c r="G120" s="2"/>
      <c r="I120" s="4"/>
    </row>
    <row r="121" spans="1:9" ht="12.75">
      <c r="A121" s="2">
        <v>12</v>
      </c>
      <c r="B121" s="11">
        <f t="shared" si="1"/>
        <v>80.55714285714286</v>
      </c>
      <c r="C121" s="15">
        <v>1</v>
      </c>
      <c r="D121" s="11">
        <f t="shared" si="2"/>
        <v>45.85714285714286</v>
      </c>
      <c r="E121" s="2">
        <f t="shared" si="3"/>
        <v>41.19863945578232</v>
      </c>
      <c r="G121" s="2"/>
      <c r="I121" s="4"/>
    </row>
    <row r="122" spans="1:9" ht="12.75">
      <c r="A122" s="2">
        <v>13</v>
      </c>
      <c r="B122" s="11">
        <f t="shared" si="1"/>
        <v>89.72857142857144</v>
      </c>
      <c r="C122" s="15">
        <v>0.9</v>
      </c>
      <c r="D122" s="11">
        <f t="shared" si="2"/>
        <v>55.02857142857144</v>
      </c>
      <c r="E122" s="2">
        <f t="shared" si="3"/>
        <v>50.3624060150376</v>
      </c>
      <c r="G122" s="2"/>
      <c r="I122" s="4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 t="s">
        <v>55</v>
      </c>
      <c r="B124" s="2"/>
      <c r="C124" s="2"/>
      <c r="D124" s="2"/>
      <c r="E124" s="2"/>
      <c r="F124" s="2"/>
      <c r="G124" s="2"/>
    </row>
    <row r="125" spans="1:7" ht="12.75">
      <c r="A125" s="2" t="s">
        <v>51</v>
      </c>
      <c r="B125" s="2" t="s">
        <v>56</v>
      </c>
      <c r="C125" s="2" t="s">
        <v>57</v>
      </c>
      <c r="D125" s="2"/>
      <c r="E125" s="2"/>
      <c r="F125" s="2"/>
      <c r="G125" s="2"/>
    </row>
    <row r="126" spans="1:7" ht="12.75">
      <c r="A126" s="2">
        <v>1</v>
      </c>
      <c r="B126" s="5">
        <f>E110/$C$104</f>
        <v>0.9074509803921569</v>
      </c>
      <c r="C126" s="15">
        <v>1.1</v>
      </c>
      <c r="D126" s="27"/>
      <c r="E126" s="27"/>
      <c r="F126" s="2"/>
      <c r="G126" s="2"/>
    </row>
    <row r="127" spans="1:7" ht="12.75">
      <c r="A127" s="2">
        <v>2</v>
      </c>
      <c r="B127" s="5">
        <f>E111/$C$104</f>
        <v>0.7314236999147485</v>
      </c>
      <c r="C127" s="15">
        <v>1.125</v>
      </c>
      <c r="D127" s="2"/>
      <c r="E127" s="2"/>
      <c r="F127" s="2"/>
      <c r="G127" s="2"/>
    </row>
    <row r="128" spans="1:7" ht="12.75">
      <c r="A128" s="2">
        <v>3</v>
      </c>
      <c r="B128" s="5">
        <f>E112/$C$104</f>
        <v>0.5225861155272921</v>
      </c>
      <c r="C128" s="15">
        <v>1.175</v>
      </c>
      <c r="D128" s="2"/>
      <c r="E128" s="2"/>
      <c r="F128" s="2"/>
      <c r="G128" s="2"/>
    </row>
    <row r="129" spans="1:7" ht="12.75">
      <c r="A129" s="2">
        <v>4</v>
      </c>
      <c r="B129" s="5">
        <f>E113/$C$104</f>
        <v>0.3141176470588236</v>
      </c>
      <c r="C129" s="15">
        <v>1.25</v>
      </c>
      <c r="D129" s="2"/>
      <c r="E129" s="2"/>
      <c r="F129" s="2"/>
      <c r="G129" s="2"/>
    </row>
    <row r="130" spans="1:7" ht="12.75">
      <c r="A130" s="2">
        <v>5</v>
      </c>
      <c r="B130" s="5">
        <f>E114/$C$104</f>
        <v>0.10470588235294119</v>
      </c>
      <c r="C130" s="15">
        <v>1.45</v>
      </c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 t="s">
        <v>58</v>
      </c>
      <c r="B132" s="2"/>
      <c r="C132" s="2"/>
      <c r="D132" s="2"/>
      <c r="E132" s="2"/>
      <c r="F132" s="2"/>
      <c r="G132" s="2"/>
    </row>
    <row r="133" spans="1:7" ht="12.75">
      <c r="A133" s="2" t="s">
        <v>51</v>
      </c>
      <c r="B133" s="2" t="s">
        <v>88</v>
      </c>
      <c r="C133" s="2" t="s">
        <v>60</v>
      </c>
      <c r="D133" s="2" t="s">
        <v>59</v>
      </c>
      <c r="E133" s="2" t="s">
        <v>61</v>
      </c>
      <c r="F133" s="2"/>
      <c r="G133" s="2"/>
    </row>
    <row r="134" spans="1:7" ht="12.75">
      <c r="A134" s="2">
        <v>6</v>
      </c>
      <c r="B134" s="5">
        <f>C104-((0.25*C25)+B30)-D115</f>
        <v>3.900000000000004</v>
      </c>
      <c r="C134" s="5">
        <f>1/(((2*B134)/$C$35)^(1/3))</f>
        <v>2.7933033758106247</v>
      </c>
      <c r="D134" s="5">
        <f>4.44*(($B$85*$B$86*C134*SQRT(COS($D$83*3.14/180)))^1.19)</f>
        <v>1.0033760409215053</v>
      </c>
      <c r="E134" s="5">
        <f aca="true" t="shared" si="4" ref="E134:E141">(E115/$E$105)*(1-D134)</f>
        <v>-0.0007525266040068721</v>
      </c>
      <c r="F134" s="2"/>
      <c r="G134" s="2"/>
    </row>
    <row r="135" spans="1:7" ht="12.75">
      <c r="A135" s="2">
        <v>7</v>
      </c>
      <c r="B135" s="5">
        <f>C104-((0.25*C25)+B30)</f>
        <v>12.4</v>
      </c>
      <c r="C135" s="5">
        <f aca="true" t="shared" si="5" ref="C135:C141">1/(((2*B135)/$C$35)^(1/3))</f>
        <v>1.8996156849358439</v>
      </c>
      <c r="D135" s="5">
        <f aca="true" t="shared" si="6" ref="D135:D141">4.44*(($B$85*$B$86*C135*SQRT(COS($D$83*3.14/180)))^1.19)</f>
        <v>0.6341549968887881</v>
      </c>
      <c r="E135" s="5">
        <f t="shared" si="4"/>
        <v>0.027303350853793245</v>
      </c>
      <c r="F135" s="2"/>
      <c r="G135" s="2"/>
    </row>
    <row r="136" spans="1:7" ht="12.75">
      <c r="A136" s="2">
        <v>8</v>
      </c>
      <c r="B136" s="11">
        <f aca="true" t="shared" si="7" ref="B136:B141">$B$135+D117</f>
        <v>21.571428571428573</v>
      </c>
      <c r="C136" s="5">
        <f t="shared" si="5"/>
        <v>1.5794771210822427</v>
      </c>
      <c r="D136" s="5">
        <f t="shared" si="6"/>
        <v>0.5091128445321805</v>
      </c>
      <c r="E136" s="5">
        <f t="shared" si="4"/>
        <v>0.03343832800805748</v>
      </c>
      <c r="F136" s="2"/>
      <c r="G136" s="2"/>
    </row>
    <row r="137" spans="1:7" ht="12.75">
      <c r="A137" s="2">
        <v>9</v>
      </c>
      <c r="B137" s="11">
        <f t="shared" si="7"/>
        <v>30.742857142857147</v>
      </c>
      <c r="C137" s="5">
        <f>1/(((2*B137)/$C$35)^(1/3))</f>
        <v>1.4035403403503455</v>
      </c>
      <c r="D137" s="5">
        <f t="shared" si="6"/>
        <v>0.44236505339286103</v>
      </c>
      <c r="E137" s="5">
        <f t="shared" si="4"/>
        <v>0.1335645771584458</v>
      </c>
      <c r="F137" s="2"/>
      <c r="G137" s="2"/>
    </row>
    <row r="138" spans="1:7" ht="12.75">
      <c r="A138" s="2">
        <v>10</v>
      </c>
      <c r="B138" s="11">
        <f t="shared" si="7"/>
        <v>39.91428571428572</v>
      </c>
      <c r="C138" s="5">
        <f t="shared" si="5"/>
        <v>1.2865604242516622</v>
      </c>
      <c r="D138" s="5">
        <f t="shared" si="6"/>
        <v>0.39884587410831673</v>
      </c>
      <c r="E138" s="5">
        <f t="shared" si="4"/>
        <v>0.24032952857076306</v>
      </c>
      <c r="F138" s="2"/>
      <c r="G138" s="2"/>
    </row>
    <row r="139" spans="1:7" ht="12.75">
      <c r="A139" s="2">
        <v>11</v>
      </c>
      <c r="B139" s="11">
        <f t="shared" si="7"/>
        <v>49.08571428571429</v>
      </c>
      <c r="C139" s="5">
        <f t="shared" si="5"/>
        <v>1.200847717307455</v>
      </c>
      <c r="D139" s="5">
        <f t="shared" si="6"/>
        <v>0.3674293334864853</v>
      </c>
      <c r="E139" s="5">
        <f t="shared" si="4"/>
        <v>0.3542566081176216</v>
      </c>
      <c r="F139" s="2"/>
      <c r="G139" s="2"/>
    </row>
    <row r="140" spans="1:7" ht="12.75">
      <c r="A140" s="2">
        <v>12</v>
      </c>
      <c r="B140" s="11">
        <f t="shared" si="7"/>
        <v>58.25714285714286</v>
      </c>
      <c r="C140" s="5">
        <f>1/(((2*B140)/$C$35)^(1/3))</f>
        <v>1.1342007098626956</v>
      </c>
      <c r="D140" s="5">
        <f t="shared" si="6"/>
        <v>0.34329239194333894</v>
      </c>
      <c r="E140" s="5">
        <f t="shared" si="4"/>
        <v>0.4729975519614613</v>
      </c>
      <c r="F140" s="2"/>
      <c r="G140" s="2"/>
    </row>
    <row r="141" spans="1:7" ht="12.75">
      <c r="A141" s="2">
        <v>13</v>
      </c>
      <c r="B141" s="11">
        <f t="shared" si="7"/>
        <v>67.42857142857144</v>
      </c>
      <c r="C141" s="5">
        <f t="shared" si="5"/>
        <v>1.080251776101828</v>
      </c>
      <c r="D141" s="5">
        <f t="shared" si="6"/>
        <v>0.3239499498619086</v>
      </c>
      <c r="E141" s="5">
        <f t="shared" si="4"/>
        <v>0.5952361383136553</v>
      </c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 t="s">
        <v>51</v>
      </c>
      <c r="B143" s="9" t="s">
        <v>83</v>
      </c>
      <c r="C143" s="2" t="s">
        <v>62</v>
      </c>
      <c r="D143" s="2"/>
      <c r="E143" s="2"/>
      <c r="F143" s="2"/>
      <c r="G143" s="2"/>
    </row>
    <row r="144" spans="1:7" ht="12.75">
      <c r="A144" s="2">
        <v>1</v>
      </c>
      <c r="B144" s="11">
        <f>$B$110</f>
        <v>3.56</v>
      </c>
      <c r="C144" s="5">
        <f>((C110/30.48)^2)*C126*(B144/30.48)</f>
        <v>0.0015060024378578938</v>
      </c>
      <c r="D144" s="2"/>
      <c r="E144" s="2"/>
      <c r="F144" s="2"/>
      <c r="G144" s="2"/>
    </row>
    <row r="145" spans="1:7" ht="12.75">
      <c r="A145" s="2">
        <v>2</v>
      </c>
      <c r="B145" s="11">
        <f>$B$110</f>
        <v>3.56</v>
      </c>
      <c r="C145" s="5">
        <f>((C111/30.48)^2)*C127*(B145/30.48)</f>
        <v>0.001833000713245521</v>
      </c>
      <c r="D145" s="2"/>
      <c r="E145" s="2"/>
      <c r="F145" s="2"/>
      <c r="G145" s="2"/>
    </row>
    <row r="146" spans="1:7" ht="12.75">
      <c r="A146" s="2">
        <v>3</v>
      </c>
      <c r="B146" s="11">
        <f>$B$110</f>
        <v>3.56</v>
      </c>
      <c r="C146" s="5">
        <f>((C112/30.48)^2)*C128*(B146/30.48)</f>
        <v>0.002133094862938049</v>
      </c>
      <c r="D146" s="2"/>
      <c r="E146" s="2"/>
      <c r="F146" s="2"/>
      <c r="G146" s="2"/>
    </row>
    <row r="147" spans="1:7" ht="12.75">
      <c r="A147" s="2">
        <v>4</v>
      </c>
      <c r="B147" s="11">
        <f>$B$110</f>
        <v>3.56</v>
      </c>
      <c r="C147" s="5">
        <f>((C113/30.48)^2)*C129*(B147/30.48)</f>
        <v>0.0022692498541894137</v>
      </c>
      <c r="D147" s="2"/>
      <c r="E147" s="2"/>
      <c r="F147" s="2"/>
      <c r="G147" s="2"/>
    </row>
    <row r="148" spans="1:7" ht="12.75">
      <c r="A148" s="2">
        <v>5</v>
      </c>
      <c r="B148" s="11">
        <f>$B$110</f>
        <v>3.56</v>
      </c>
      <c r="C148" s="5">
        <f>((C114/30.48)^2)*C130*(B148/30.48)</f>
        <v>0.0026323298308597197</v>
      </c>
      <c r="D148" s="2"/>
      <c r="E148" s="2"/>
      <c r="F148" s="2"/>
      <c r="G148" s="2"/>
    </row>
    <row r="149" spans="1:7" ht="12.75">
      <c r="A149" s="2">
        <v>6</v>
      </c>
      <c r="B149" s="11">
        <f>$C$104/2</f>
        <v>8.5</v>
      </c>
      <c r="C149" s="5">
        <f aca="true" t="shared" si="8" ref="C149:C156">((C115/30.48)^2)*E134*(B149/30.48)</f>
        <v>-3.26184326618834E-06</v>
      </c>
      <c r="D149" s="2"/>
      <c r="E149" s="2"/>
      <c r="F149" s="2"/>
      <c r="G149" s="2"/>
    </row>
    <row r="150" spans="1:7" ht="12.75">
      <c r="A150" s="2">
        <v>7</v>
      </c>
      <c r="B150" s="11">
        <f>$C$104/2</f>
        <v>8.5</v>
      </c>
      <c r="C150" s="5">
        <f t="shared" si="8"/>
        <v>0.00011220014953922348</v>
      </c>
      <c r="D150" s="2"/>
      <c r="E150" s="2"/>
      <c r="F150" s="2"/>
      <c r="G150" s="2"/>
    </row>
    <row r="151" spans="1:7" ht="12.75">
      <c r="A151" s="2">
        <v>8</v>
      </c>
      <c r="B151" s="11">
        <f aca="true" t="shared" si="9" ref="B151:B156">($C$102-$C$104-$D$103)/7</f>
        <v>9.171428571428573</v>
      </c>
      <c r="C151" s="5">
        <f>((C117/30.48)^2)*E136*(B151/30.48)</f>
        <v>2.1227200646086733E-05</v>
      </c>
      <c r="D151" s="2"/>
      <c r="E151" s="2"/>
      <c r="F151" s="2"/>
      <c r="G151" s="2"/>
    </row>
    <row r="152" spans="1:7" ht="12.75">
      <c r="A152" s="2">
        <v>9</v>
      </c>
      <c r="B152" s="11">
        <f t="shared" si="9"/>
        <v>9.171428571428573</v>
      </c>
      <c r="C152" s="5">
        <f>((C118/30.48)^2)*E137*(B152/30.48)</f>
        <v>7.310887453241429E-05</v>
      </c>
      <c r="D152" s="2"/>
      <c r="E152" s="2"/>
      <c r="F152" s="2"/>
      <c r="G152" s="2"/>
    </row>
    <row r="153" spans="1:7" ht="12.75">
      <c r="A153" s="2">
        <v>10</v>
      </c>
      <c r="B153" s="11">
        <f t="shared" si="9"/>
        <v>9.171428571428573</v>
      </c>
      <c r="C153" s="5">
        <f>((C119/30.48)^2)*E138*(B153/30.48)</f>
        <v>0.0001120886727528828</v>
      </c>
      <c r="D153" s="2"/>
      <c r="E153" s="2"/>
      <c r="F153" s="2"/>
      <c r="G153" s="2"/>
    </row>
    <row r="154" spans="1:7" ht="12.75">
      <c r="A154" s="2">
        <v>11</v>
      </c>
      <c r="B154" s="11">
        <f t="shared" si="9"/>
        <v>9.171428571428573</v>
      </c>
      <c r="C154" s="5">
        <f>((C120/30.48)^2)*E139*(B154/30.48)</f>
        <v>0.0001388338702111181</v>
      </c>
      <c r="D154" s="2"/>
      <c r="E154" s="2"/>
      <c r="F154" s="2"/>
      <c r="G154" s="2"/>
    </row>
    <row r="155" spans="1:7" ht="12.75">
      <c r="A155" s="2">
        <v>12</v>
      </c>
      <c r="B155" s="11">
        <f t="shared" si="9"/>
        <v>9.171428571428573</v>
      </c>
      <c r="C155" s="5">
        <f t="shared" si="8"/>
        <v>0.0001531972583239793</v>
      </c>
      <c r="D155" s="2"/>
      <c r="E155" s="2"/>
      <c r="F155" s="2"/>
      <c r="G155" s="2"/>
    </row>
    <row r="156" spans="1:7" ht="12.75">
      <c r="A156" s="2">
        <v>13</v>
      </c>
      <c r="B156" s="11">
        <f t="shared" si="9"/>
        <v>9.171428571428573</v>
      </c>
      <c r="C156" s="5">
        <f t="shared" si="8"/>
        <v>0.00015615878072551236</v>
      </c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9" ht="12.75">
      <c r="A159" s="5" t="s">
        <v>63</v>
      </c>
      <c r="B159" s="5"/>
      <c r="C159" s="5">
        <f>((1/36.5)*(1/0.08)*(SUM(C144:C156)))/((C25/30.48)*(C36/929.0304))</f>
        <v>0.0034648603027674705</v>
      </c>
      <c r="D159" s="5"/>
      <c r="E159" s="2"/>
      <c r="F159" s="2"/>
      <c r="G159" s="2"/>
      <c r="I159" s="2"/>
    </row>
    <row r="160" spans="1:7" ht="12.75">
      <c r="A160" s="5"/>
      <c r="B160" s="5"/>
      <c r="C160" s="5"/>
      <c r="D160" s="5"/>
      <c r="E160" s="2"/>
      <c r="F160" s="2"/>
      <c r="G160" s="2"/>
    </row>
    <row r="161" spans="1:7" ht="12.75">
      <c r="A161" s="5" t="s">
        <v>64</v>
      </c>
      <c r="B161" s="5"/>
      <c r="C161" s="5"/>
      <c r="D161" s="5">
        <f>0.25+C159</f>
        <v>0.2534648603027675</v>
      </c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3" t="s">
        <v>65</v>
      </c>
      <c r="B163" s="3"/>
      <c r="C163" s="3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 t="s">
        <v>66</v>
      </c>
      <c r="B165" s="2"/>
      <c r="C165" s="2"/>
      <c r="D165" s="15">
        <v>3.8</v>
      </c>
      <c r="E165" s="4" t="s">
        <v>77</v>
      </c>
      <c r="F165" s="2"/>
      <c r="G165" s="2"/>
    </row>
    <row r="166" spans="1:7" ht="12.75">
      <c r="A166" s="2" t="s">
        <v>67</v>
      </c>
      <c r="B166" s="2"/>
      <c r="C166" s="2"/>
      <c r="D166" s="15">
        <v>5.8</v>
      </c>
      <c r="E166" s="4" t="s">
        <v>77</v>
      </c>
      <c r="F166" s="2"/>
      <c r="G166" s="2"/>
    </row>
    <row r="167" spans="1:7" ht="12.75">
      <c r="A167" s="2"/>
      <c r="B167" s="2"/>
      <c r="C167" s="2"/>
      <c r="D167" s="2"/>
      <c r="E167" s="4"/>
      <c r="F167" s="2"/>
      <c r="G167" s="2"/>
    </row>
    <row r="168" spans="1:7" ht="12.75">
      <c r="A168" s="5" t="s">
        <v>68</v>
      </c>
      <c r="B168" s="5"/>
      <c r="C168" s="5">
        <f>2*SQRT(D165*D166)</f>
        <v>9.389355675444401</v>
      </c>
      <c r="D168" s="2"/>
      <c r="E168" s="2"/>
      <c r="F168" s="2"/>
      <c r="G168" s="2"/>
    </row>
    <row r="169" spans="1:7" ht="12.75">
      <c r="A169" s="5"/>
      <c r="B169" s="5"/>
      <c r="C169" s="5"/>
      <c r="D169" s="2"/>
      <c r="E169" s="2"/>
      <c r="F169" s="2"/>
      <c r="G169" s="2"/>
    </row>
    <row r="170" spans="1:7" ht="12.75">
      <c r="A170" s="5" t="s">
        <v>69</v>
      </c>
      <c r="B170" s="5"/>
      <c r="C170" s="5">
        <f>(1+0.025*(C168/C35)-0.25*((C168/C35)^2))*B76</f>
        <v>5.215770634713116</v>
      </c>
      <c r="D170" s="2"/>
      <c r="E170" s="2"/>
      <c r="F170" s="2"/>
      <c r="G170" s="2"/>
    </row>
    <row r="171" spans="1:7" ht="12.75">
      <c r="A171" s="5"/>
      <c r="B171" s="5"/>
      <c r="C171" s="5"/>
      <c r="D171" s="2"/>
      <c r="E171" s="2"/>
      <c r="F171" s="2"/>
      <c r="G171" s="2"/>
    </row>
    <row r="172" spans="1:7" ht="12.75">
      <c r="A172" s="5" t="s">
        <v>70</v>
      </c>
      <c r="B172" s="5">
        <f>1+((B77*(1-B89)*(C37/C36))/(C170))</f>
        <v>1.0576747301489124</v>
      </c>
      <c r="C172" s="5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5" t="s">
        <v>65</v>
      </c>
      <c r="B174" s="5"/>
      <c r="C174" s="5"/>
      <c r="D174" s="5">
        <f>(D161+((B77*(1-B89)*B42)/(C170)))/(B172)</f>
        <v>0.5203112765423873</v>
      </c>
      <c r="E174" s="2"/>
      <c r="F174" s="2"/>
      <c r="G174" s="2"/>
    </row>
    <row r="175" spans="1:7" ht="12.75">
      <c r="A175" s="5"/>
      <c r="B175" s="5"/>
      <c r="C175" s="5"/>
      <c r="D175" s="5"/>
      <c r="E175" s="2"/>
      <c r="F175" s="2"/>
      <c r="G175" s="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</dc:creator>
  <cp:keywords/>
  <dc:description/>
  <cp:lastModifiedBy>.</cp:lastModifiedBy>
  <dcterms:created xsi:type="dcterms:W3CDTF">2006-05-11T11:13:14Z</dcterms:created>
  <dcterms:modified xsi:type="dcterms:W3CDTF">2007-04-30T07:24:52Z</dcterms:modified>
  <cp:category/>
  <cp:version/>
  <cp:contentType/>
  <cp:contentStatus/>
</cp:coreProperties>
</file>